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20" windowWidth="19815" windowHeight="6900"/>
  </bookViews>
  <sheets>
    <sheet name="удобр+ нормы и сроки сева" sheetId="1" r:id="rId1"/>
  </sheets>
  <externalReferences>
    <externalReference r:id="rId2"/>
  </externalReferences>
  <calcPr calcId="125725" concurrentCalc="0"/>
</workbook>
</file>

<file path=xl/calcChain.xml><?xml version="1.0" encoding="utf-8"?>
<calcChain xmlns="http://schemas.openxmlformats.org/spreadsheetml/2006/main">
  <c r="N54" i="1"/>
  <c r="V54"/>
  <c r="M54"/>
  <c r="U54"/>
  <c r="L54"/>
  <c r="T54"/>
  <c r="K54"/>
  <c r="S54"/>
  <c r="N53"/>
  <c r="V53"/>
  <c r="M53"/>
  <c r="U53"/>
  <c r="L53"/>
  <c r="T53"/>
  <c r="K53"/>
  <c r="S53"/>
  <c r="N52"/>
  <c r="V52"/>
  <c r="M52"/>
  <c r="U52"/>
  <c r="L52"/>
  <c r="T52"/>
  <c r="K52"/>
  <c r="S52"/>
  <c r="N48"/>
  <c r="V48"/>
  <c r="M48"/>
  <c r="U48"/>
  <c r="L48"/>
  <c r="T48"/>
  <c r="K48"/>
  <c r="S48"/>
  <c r="N47"/>
  <c r="V47"/>
  <c r="M47"/>
  <c r="U47"/>
  <c r="L47"/>
  <c r="T47"/>
  <c r="K47"/>
  <c r="S47"/>
  <c r="N46"/>
  <c r="V46"/>
  <c r="M46"/>
  <c r="U46"/>
  <c r="L46"/>
  <c r="T46"/>
  <c r="K46"/>
  <c r="S46"/>
  <c r="C45"/>
  <c r="D45"/>
  <c r="C44"/>
  <c r="D44"/>
  <c r="C43"/>
  <c r="D43"/>
  <c r="N42"/>
  <c r="V42"/>
  <c r="M42"/>
  <c r="U42"/>
  <c r="L42"/>
  <c r="T42"/>
  <c r="K42"/>
  <c r="S42"/>
  <c r="C42"/>
  <c r="D42"/>
  <c r="N41"/>
  <c r="V41"/>
  <c r="M41"/>
  <c r="U41"/>
  <c r="L41"/>
  <c r="T41"/>
  <c r="K41"/>
  <c r="S41"/>
  <c r="C41"/>
  <c r="D41"/>
  <c r="N40"/>
  <c r="V40"/>
  <c r="M40"/>
  <c r="U40"/>
  <c r="L40"/>
  <c r="T40"/>
  <c r="K40"/>
  <c r="S40"/>
  <c r="C40"/>
  <c r="D40"/>
  <c r="C39"/>
  <c r="D39"/>
  <c r="N36"/>
  <c r="V36"/>
  <c r="M36"/>
  <c r="U36"/>
  <c r="L36"/>
  <c r="T36"/>
  <c r="K36"/>
  <c r="S36"/>
  <c r="C36"/>
  <c r="D36"/>
  <c r="N35"/>
  <c r="V35"/>
  <c r="M35"/>
  <c r="U35"/>
  <c r="L35"/>
  <c r="T35"/>
  <c r="K35"/>
  <c r="S35"/>
  <c r="C35"/>
  <c r="D35"/>
  <c r="N34"/>
  <c r="V34"/>
  <c r="M34"/>
  <c r="U34"/>
  <c r="L34"/>
  <c r="T34"/>
  <c r="K34"/>
  <c r="S34"/>
  <c r="C34"/>
  <c r="D34"/>
  <c r="C33"/>
  <c r="D33"/>
  <c r="C32"/>
  <c r="D32"/>
  <c r="C31"/>
  <c r="D31"/>
  <c r="C30"/>
  <c r="D30"/>
  <c r="C27"/>
  <c r="D27"/>
  <c r="C26"/>
  <c r="D26"/>
  <c r="C25"/>
  <c r="D25"/>
  <c r="C24"/>
  <c r="D24"/>
  <c r="C23"/>
  <c r="D23"/>
  <c r="C22"/>
  <c r="D22"/>
  <c r="C21"/>
  <c r="D21"/>
  <c r="C18"/>
  <c r="D18"/>
  <c r="C17"/>
  <c r="D17"/>
  <c r="C16"/>
  <c r="D16"/>
  <c r="C15"/>
  <c r="D15"/>
  <c r="C14"/>
  <c r="D14"/>
  <c r="C13"/>
  <c r="D13"/>
  <c r="C12"/>
  <c r="D12"/>
  <c r="AD9"/>
  <c r="AI9"/>
  <c r="Z9"/>
  <c r="AE9"/>
  <c r="AN9"/>
  <c r="AC9"/>
  <c r="AH9"/>
  <c r="AM9"/>
  <c r="AB9"/>
  <c r="AG9"/>
  <c r="AL9"/>
  <c r="AA9"/>
  <c r="AF9"/>
  <c r="AK9"/>
  <c r="C9"/>
  <c r="D9"/>
  <c r="AD8"/>
  <c r="AI8"/>
  <c r="Z8"/>
  <c r="AE8"/>
  <c r="AN8"/>
  <c r="AC8"/>
  <c r="AH8"/>
  <c r="AM8"/>
  <c r="AB8"/>
  <c r="AG8"/>
  <c r="AL8"/>
  <c r="AA8"/>
  <c r="AF8"/>
  <c r="AK8"/>
  <c r="C8"/>
  <c r="D8"/>
  <c r="AD7"/>
  <c r="AI7"/>
  <c r="Z7"/>
  <c r="AE7"/>
  <c r="AN7"/>
  <c r="AC7"/>
  <c r="AH7"/>
  <c r="AM7"/>
  <c r="AB7"/>
  <c r="AG7"/>
  <c r="AL7"/>
  <c r="AA7"/>
  <c r="AF7"/>
  <c r="AK7"/>
  <c r="C7"/>
  <c r="D7"/>
  <c r="AD6"/>
  <c r="AI6"/>
  <c r="Z6"/>
  <c r="AE6"/>
  <c r="AN6"/>
  <c r="AC6"/>
  <c r="AH6"/>
  <c r="AM6"/>
  <c r="AB6"/>
  <c r="AG6"/>
  <c r="AL6"/>
  <c r="AA6"/>
  <c r="AF6"/>
  <c r="AK6"/>
  <c r="C6"/>
  <c r="D6"/>
  <c r="AD5"/>
  <c r="AI5"/>
  <c r="Z5"/>
  <c r="AE5"/>
  <c r="AN5"/>
  <c r="AC5"/>
  <c r="AH5"/>
  <c r="AM5"/>
  <c r="AB5"/>
  <c r="AG5"/>
  <c r="AL5"/>
  <c r="AA5"/>
  <c r="AF5"/>
  <c r="AK5"/>
  <c r="C5"/>
  <c r="D5"/>
  <c r="AD4"/>
  <c r="AI4"/>
  <c r="Z4"/>
  <c r="AE4"/>
  <c r="AN4"/>
  <c r="AC4"/>
  <c r="AH4"/>
  <c r="AM4"/>
  <c r="AB4"/>
  <c r="AG4"/>
  <c r="AL4"/>
  <c r="AA4"/>
  <c r="AF4"/>
  <c r="AK4"/>
  <c r="C4"/>
  <c r="D4"/>
  <c r="AD3"/>
  <c r="AI3"/>
  <c r="Z3"/>
  <c r="AE3"/>
  <c r="AN3"/>
  <c r="AC3"/>
  <c r="AH3"/>
  <c r="AM3"/>
  <c r="AB3"/>
  <c r="AG3"/>
  <c r="AL3"/>
  <c r="AA3"/>
  <c r="AF3"/>
  <c r="AK3"/>
  <c r="C3"/>
  <c r="D3"/>
</calcChain>
</file>

<file path=xl/sharedStrings.xml><?xml version="1.0" encoding="utf-8"?>
<sst xmlns="http://schemas.openxmlformats.org/spreadsheetml/2006/main" count="294" uniqueCount="57">
  <si>
    <t>Урожайность, ц/га</t>
  </si>
  <si>
    <t>Белок, %</t>
  </si>
  <si>
    <t>Глютен, %</t>
  </si>
  <si>
    <t>класс</t>
  </si>
  <si>
    <t>Выручка</t>
  </si>
  <si>
    <t>Дополнительная прибыль за счет внесения удобрений</t>
  </si>
  <si>
    <t>Контроль</t>
  </si>
  <si>
    <t>Влажность, %</t>
  </si>
  <si>
    <t>Урожайность с делянки, ц/га</t>
  </si>
  <si>
    <t>Урожайность при 14%, ц/га</t>
  </si>
  <si>
    <t>Натура, %</t>
  </si>
  <si>
    <t>300 кг селитры</t>
  </si>
  <si>
    <t>300 кг селитры + 200 кг сульфата кальция</t>
  </si>
  <si>
    <t>300 кг селитры + 50 кг КАСа</t>
  </si>
  <si>
    <t>400 кг селитры</t>
  </si>
  <si>
    <t>600 кг селитры</t>
  </si>
  <si>
    <t>Гром</t>
  </si>
  <si>
    <t>Губернатор Дона</t>
  </si>
  <si>
    <t>Скипетр</t>
  </si>
  <si>
    <t>Прасковья</t>
  </si>
  <si>
    <t>М40</t>
  </si>
  <si>
    <t>Н57</t>
  </si>
  <si>
    <t>Ермак</t>
  </si>
  <si>
    <t>аммиачная селитра</t>
  </si>
  <si>
    <t>белок</t>
  </si>
  <si>
    <t>цена</t>
  </si>
  <si>
    <t>1 ц аммиачной селитры</t>
  </si>
  <si>
    <t>КАС</t>
  </si>
  <si>
    <t>3 класс</t>
  </si>
  <si>
    <t>сульфат кальция</t>
  </si>
  <si>
    <t>4 класс</t>
  </si>
  <si>
    <t>5 класс</t>
  </si>
  <si>
    <t>3 ц аммиачной селитры</t>
  </si>
  <si>
    <t>2 ц сульфата кальция</t>
  </si>
  <si>
    <t>Урожайность</t>
  </si>
  <si>
    <t>Урожайность при 14%</t>
  </si>
  <si>
    <t>Белок</t>
  </si>
  <si>
    <t>Натура</t>
  </si>
  <si>
    <t>Сорт Гром</t>
  </si>
  <si>
    <t>4 млн</t>
  </si>
  <si>
    <t>5 млн</t>
  </si>
  <si>
    <t>6 млн</t>
  </si>
  <si>
    <t>Сорт Губернатор Дона</t>
  </si>
  <si>
    <t>Сорт Московская 40</t>
  </si>
  <si>
    <t>4 млн 08 сентября</t>
  </si>
  <si>
    <t>Сорт Скипетр</t>
  </si>
  <si>
    <t>5 млн 08 сентября</t>
  </si>
  <si>
    <t>6 млн 08 сентября</t>
  </si>
  <si>
    <t>4 млн 10 сентября</t>
  </si>
  <si>
    <t>5 млн 10 сентября</t>
  </si>
  <si>
    <t>6 млн 10 сентября</t>
  </si>
  <si>
    <t>4 млн 15 сентября</t>
  </si>
  <si>
    <t>5 млн 15 сентября</t>
  </si>
  <si>
    <t>6 млн 15 сентября</t>
  </si>
  <si>
    <t>4 млн 21 сентября</t>
  </si>
  <si>
    <t>5 млн 21 сентября</t>
  </si>
  <si>
    <t>6 млн 21 сентября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</si>
</sst>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theme="7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81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2" xfId="0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1" xfId="0" applyFont="1" applyBorder="1"/>
    <xf numFmtId="164" fontId="3" fillId="0" borderId="1" xfId="0" applyNumberFormat="1" applyFont="1" applyBorder="1"/>
    <xf numFmtId="0" fontId="0" fillId="0" borderId="1" xfId="0" applyBorder="1"/>
    <xf numFmtId="0" fontId="3" fillId="0" borderId="6" xfId="0" applyFont="1" applyBorder="1"/>
    <xf numFmtId="164" fontId="0" fillId="0" borderId="1" xfId="0" applyNumberFormat="1" applyFont="1" applyBorder="1"/>
    <xf numFmtId="164" fontId="0" fillId="0" borderId="7" xfId="0" applyNumberFormat="1" applyFont="1" applyBorder="1"/>
    <xf numFmtId="0" fontId="0" fillId="0" borderId="6" xfId="0" applyFont="1" applyBorder="1"/>
    <xf numFmtId="0" fontId="0" fillId="0" borderId="1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6" xfId="0" applyBorder="1"/>
    <xf numFmtId="0" fontId="0" fillId="0" borderId="8" xfId="0" applyBorder="1"/>
    <xf numFmtId="3" fontId="0" fillId="0" borderId="6" xfId="0" applyNumberFormat="1" applyBorder="1"/>
    <xf numFmtId="3" fontId="0" fillId="0" borderId="1" xfId="0" applyNumberFormat="1" applyBorder="1"/>
    <xf numFmtId="3" fontId="0" fillId="0" borderId="8" xfId="0" applyNumberFormat="1" applyBorder="1"/>
    <xf numFmtId="3" fontId="0" fillId="0" borderId="7" xfId="0" applyNumberFormat="1" applyBorder="1"/>
    <xf numFmtId="0" fontId="3" fillId="0" borderId="9" xfId="0" applyFont="1" applyBorder="1"/>
    <xf numFmtId="164" fontId="0" fillId="0" borderId="10" xfId="0" applyNumberFormat="1" applyFont="1" applyBorder="1"/>
    <xf numFmtId="164" fontId="0" fillId="0" borderId="11" xfId="0" applyNumberFormat="1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2" xfId="0" applyNumberFormat="1" applyBorder="1"/>
    <xf numFmtId="3" fontId="0" fillId="0" borderId="11" xfId="0" applyNumberFormat="1" applyBorder="1"/>
    <xf numFmtId="0" fontId="4" fillId="2" borderId="13" xfId="0" applyFont="1" applyFill="1" applyBorder="1"/>
    <xf numFmtId="164" fontId="4" fillId="2" borderId="14" xfId="0" applyNumberFormat="1" applyFont="1" applyFill="1" applyBorder="1"/>
    <xf numFmtId="164" fontId="5" fillId="3" borderId="15" xfId="0" applyNumberFormat="1" applyFont="1" applyFill="1" applyBorder="1" applyAlignment="1">
      <alignment horizontal="left" vertical="center"/>
    </xf>
    <xf numFmtId="164" fontId="5" fillId="3" borderId="0" xfId="0" applyNumberFormat="1" applyFont="1" applyFill="1" applyBorder="1" applyAlignment="1">
      <alignment horizontal="center" vertical="center"/>
    </xf>
    <xf numFmtId="3" fontId="5" fillId="3" borderId="16" xfId="0" applyNumberFormat="1" applyFont="1" applyFill="1" applyBorder="1" applyAlignment="1">
      <alignment horizontal="center" vertical="center"/>
    </xf>
    <xf numFmtId="0" fontId="4" fillId="2" borderId="17" xfId="0" applyFont="1" applyFill="1" applyBorder="1"/>
    <xf numFmtId="164" fontId="4" fillId="2" borderId="18" xfId="0" applyNumberFormat="1" applyFont="1" applyFill="1" applyBorder="1"/>
    <xf numFmtId="3" fontId="5" fillId="3" borderId="15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3" fontId="5" fillId="3" borderId="16" xfId="0" applyNumberFormat="1" applyFont="1" applyFill="1" applyBorder="1"/>
    <xf numFmtId="0" fontId="4" fillId="2" borderId="19" xfId="0" applyFont="1" applyFill="1" applyBorder="1"/>
    <xf numFmtId="164" fontId="4" fillId="2" borderId="20" xfId="0" applyNumberFormat="1" applyFont="1" applyFill="1" applyBorder="1"/>
    <xf numFmtId="3" fontId="5" fillId="3" borderId="21" xfId="0" applyNumberFormat="1" applyFont="1" applyFill="1" applyBorder="1" applyAlignment="1">
      <alignment horizontal="left"/>
    </xf>
    <xf numFmtId="164" fontId="5" fillId="3" borderId="22" xfId="0" applyNumberFormat="1" applyFont="1" applyFill="1" applyBorder="1"/>
    <xf numFmtId="3" fontId="5" fillId="3" borderId="23" xfId="0" applyNumberFormat="1" applyFont="1" applyFill="1" applyBorder="1"/>
    <xf numFmtId="0" fontId="1" fillId="0" borderId="24" xfId="0" applyFont="1" applyBorder="1"/>
    <xf numFmtId="0" fontId="0" fillId="0" borderId="25" xfId="0" applyBorder="1"/>
    <xf numFmtId="0" fontId="0" fillId="0" borderId="26" xfId="0" applyBorder="1"/>
    <xf numFmtId="16" fontId="0" fillId="0" borderId="6" xfId="0" applyNumberFormat="1" applyBorder="1"/>
    <xf numFmtId="16" fontId="0" fillId="0" borderId="1" xfId="0" applyNumberFormat="1" applyBorder="1"/>
    <xf numFmtId="16" fontId="0" fillId="0" borderId="8" xfId="0" applyNumberFormat="1" applyBorder="1"/>
    <xf numFmtId="16" fontId="0" fillId="0" borderId="7" xfId="0" applyNumberFormat="1" applyBorder="1"/>
    <xf numFmtId="16" fontId="0" fillId="0" borderId="27" xfId="0" applyNumberFormat="1" applyBorder="1"/>
    <xf numFmtId="164" fontId="0" fillId="0" borderId="6" xfId="0" applyNumberFormat="1" applyBorder="1"/>
    <xf numFmtId="164" fontId="0" fillId="0" borderId="1" xfId="0" applyNumberFormat="1" applyBorder="1"/>
    <xf numFmtId="164" fontId="0" fillId="0" borderId="8" xfId="0" applyNumberFormat="1" applyBorder="1"/>
    <xf numFmtId="164" fontId="0" fillId="0" borderId="7" xfId="0" applyNumberFormat="1" applyBorder="1"/>
    <xf numFmtId="164" fontId="0" fillId="0" borderId="27" xfId="0" applyNumberFormat="1" applyBorder="1"/>
    <xf numFmtId="0" fontId="0" fillId="0" borderId="7" xfId="0" applyBorder="1"/>
    <xf numFmtId="0" fontId="0" fillId="0" borderId="27" xfId="0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1" xfId="0" applyNumberFormat="1" applyBorder="1"/>
    <xf numFmtId="164" fontId="0" fillId="0" borderId="28" xfId="0" applyNumberFormat="1" applyBorder="1"/>
    <xf numFmtId="0" fontId="0" fillId="0" borderId="11" xfId="0" applyBorder="1"/>
    <xf numFmtId="0" fontId="0" fillId="0" borderId="28" xfId="0" applyBorder="1"/>
    <xf numFmtId="0" fontId="2" fillId="0" borderId="1" xfId="0" applyFont="1" applyBorder="1"/>
    <xf numFmtId="0" fontId="3" fillId="0" borderId="1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Влияние</a:t>
            </a:r>
            <a:r>
              <a:rPr lang="ru-RU" baseline="0"/>
              <a:t> удобрений на урожайность, ц/га</a:t>
            </a:r>
            <a:endParaRPr lang="ru-RU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'удобр+ нормы и сроки сева'!$J$3</c:f>
              <c:strCache>
                <c:ptCount val="1"/>
                <c:pt idx="0">
                  <c:v>Гром</c:v>
                </c:pt>
              </c:strCache>
            </c:strRef>
          </c:tx>
          <c:marker>
            <c:symbol val="none"/>
          </c:marker>
          <c:cat>
            <c:strRef>
              <c:f>'удобр+ нормы и сроки сева'!$K$2:$O$2</c:f>
              <c:strCache>
                <c:ptCount val="5"/>
                <c:pt idx="0">
                  <c:v>300 кг селитры</c:v>
                </c:pt>
                <c:pt idx="1">
                  <c:v>300 кг селитры + 200 кг сульфата кальция</c:v>
                </c:pt>
                <c:pt idx="2">
                  <c:v>300 кг селитры + 50 кг КАСа</c:v>
                </c:pt>
                <c:pt idx="3">
                  <c:v>400 кг селитры</c:v>
                </c:pt>
                <c:pt idx="4">
                  <c:v>600 кг селитры</c:v>
                </c:pt>
              </c:strCache>
            </c:strRef>
          </c:cat>
          <c:val>
            <c:numRef>
              <c:f>'удобр+ нормы и сроки сева'!$K$3:$O$3</c:f>
              <c:numCache>
                <c:formatCode>#,##0.0</c:formatCode>
                <c:ptCount val="5"/>
                <c:pt idx="0">
                  <c:v>73.608992248062009</c:v>
                </c:pt>
                <c:pt idx="1">
                  <c:v>74.808062015503864</c:v>
                </c:pt>
                <c:pt idx="2">
                  <c:v>80.765891472868219</c:v>
                </c:pt>
                <c:pt idx="3">
                  <c:v>75.025116279069778</c:v>
                </c:pt>
                <c:pt idx="4">
                  <c:v>76.488372093023258</c:v>
                </c:pt>
              </c:numCache>
            </c:numRef>
          </c:val>
        </c:ser>
        <c:ser>
          <c:idx val="1"/>
          <c:order val="1"/>
          <c:tx>
            <c:strRef>
              <c:f>'удобр+ нормы и сроки сева'!$J$4</c:f>
              <c:strCache>
                <c:ptCount val="1"/>
                <c:pt idx="0">
                  <c:v>Губернатор Дона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'удобр+ нормы и сроки сева'!$K$2:$O$2</c:f>
              <c:strCache>
                <c:ptCount val="5"/>
                <c:pt idx="0">
                  <c:v>300 кг селитры</c:v>
                </c:pt>
                <c:pt idx="1">
                  <c:v>300 кг селитры + 200 кг сульфата кальция</c:v>
                </c:pt>
                <c:pt idx="2">
                  <c:v>300 кг селитры + 50 кг КАСа</c:v>
                </c:pt>
                <c:pt idx="3">
                  <c:v>400 кг селитры</c:v>
                </c:pt>
                <c:pt idx="4">
                  <c:v>600 кг селитры</c:v>
                </c:pt>
              </c:strCache>
            </c:strRef>
          </c:cat>
          <c:val>
            <c:numRef>
              <c:f>'удобр+ нормы и сроки сева'!$K$4:$O$4</c:f>
              <c:numCache>
                <c:formatCode>#,##0.0</c:formatCode>
                <c:ptCount val="5"/>
                <c:pt idx="0">
                  <c:v>92.60914728682171</c:v>
                </c:pt>
                <c:pt idx="1">
                  <c:v>87.42945736434109</c:v>
                </c:pt>
                <c:pt idx="2">
                  <c:v>92.235658914728688</c:v>
                </c:pt>
                <c:pt idx="3">
                  <c:v>91.225736434108541</c:v>
                </c:pt>
                <c:pt idx="4">
                  <c:v>89.796434108527151</c:v>
                </c:pt>
              </c:numCache>
            </c:numRef>
          </c:val>
        </c:ser>
        <c:ser>
          <c:idx val="2"/>
          <c:order val="2"/>
          <c:tx>
            <c:strRef>
              <c:f>'удобр+ нормы и сроки сева'!$J$5</c:f>
              <c:strCache>
                <c:ptCount val="1"/>
                <c:pt idx="0">
                  <c:v>Скипетр</c:v>
                </c:pt>
              </c:strCache>
            </c:strRef>
          </c:tx>
          <c:marker>
            <c:symbol val="none"/>
          </c:marker>
          <c:cat>
            <c:strRef>
              <c:f>'удобр+ нормы и сроки сева'!$K$2:$O$2</c:f>
              <c:strCache>
                <c:ptCount val="5"/>
                <c:pt idx="0">
                  <c:v>300 кг селитры</c:v>
                </c:pt>
                <c:pt idx="1">
                  <c:v>300 кг селитры + 200 кг сульфата кальция</c:v>
                </c:pt>
                <c:pt idx="2">
                  <c:v>300 кг селитры + 50 кг КАСа</c:v>
                </c:pt>
                <c:pt idx="3">
                  <c:v>400 кг селитры</c:v>
                </c:pt>
                <c:pt idx="4">
                  <c:v>600 кг селитры</c:v>
                </c:pt>
              </c:strCache>
            </c:strRef>
          </c:cat>
          <c:val>
            <c:numRef>
              <c:f>'удобр+ нормы и сроки сева'!$K$5:$O$5</c:f>
              <c:numCache>
                <c:formatCode>#,##0.0</c:formatCode>
                <c:ptCount val="5"/>
                <c:pt idx="0">
                  <c:v>87.764496124031012</c:v>
                </c:pt>
                <c:pt idx="1">
                  <c:v>76.54883720930232</c:v>
                </c:pt>
                <c:pt idx="2">
                  <c:v>90.399999999999991</c:v>
                </c:pt>
                <c:pt idx="3">
                  <c:v>84.208372093023257</c:v>
                </c:pt>
                <c:pt idx="4">
                  <c:v>83.678759689922487</c:v>
                </c:pt>
              </c:numCache>
            </c:numRef>
          </c:val>
        </c:ser>
        <c:ser>
          <c:idx val="3"/>
          <c:order val="3"/>
          <c:tx>
            <c:strRef>
              <c:f>'удобр+ нормы и сроки сева'!$J$6</c:f>
              <c:strCache>
                <c:ptCount val="1"/>
                <c:pt idx="0">
                  <c:v>Прасковья</c:v>
                </c:pt>
              </c:strCache>
            </c:strRef>
          </c:tx>
          <c:marker>
            <c:symbol val="none"/>
          </c:marker>
          <c:cat>
            <c:strRef>
              <c:f>'удобр+ нормы и сроки сева'!$K$2:$O$2</c:f>
              <c:strCache>
                <c:ptCount val="5"/>
                <c:pt idx="0">
                  <c:v>300 кг селитры</c:v>
                </c:pt>
                <c:pt idx="1">
                  <c:v>300 кг селитры + 200 кг сульфата кальция</c:v>
                </c:pt>
                <c:pt idx="2">
                  <c:v>300 кг селитры + 50 кг КАСа</c:v>
                </c:pt>
                <c:pt idx="3">
                  <c:v>400 кг селитры</c:v>
                </c:pt>
                <c:pt idx="4">
                  <c:v>600 кг селитры</c:v>
                </c:pt>
              </c:strCache>
            </c:strRef>
          </c:cat>
          <c:val>
            <c:numRef>
              <c:f>'удобр+ нормы и сроки сева'!$K$6:$O$6</c:f>
              <c:numCache>
                <c:formatCode>#,##0.0</c:formatCode>
                <c:ptCount val="5"/>
                <c:pt idx="0">
                  <c:v>86.734573643410869</c:v>
                </c:pt>
                <c:pt idx="1">
                  <c:v>81.118759689922484</c:v>
                </c:pt>
                <c:pt idx="2">
                  <c:v>89.346976744186051</c:v>
                </c:pt>
                <c:pt idx="3">
                  <c:v>86.162790697674424</c:v>
                </c:pt>
                <c:pt idx="4">
                  <c:v>81.837209302325576</c:v>
                </c:pt>
              </c:numCache>
            </c:numRef>
          </c:val>
        </c:ser>
        <c:ser>
          <c:idx val="4"/>
          <c:order val="4"/>
          <c:tx>
            <c:strRef>
              <c:f>'удобр+ нормы и сроки сева'!$J$7</c:f>
              <c:strCache>
                <c:ptCount val="1"/>
                <c:pt idx="0">
                  <c:v>М40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'удобр+ нормы и сроки сева'!$K$2:$O$2</c:f>
              <c:strCache>
                <c:ptCount val="5"/>
                <c:pt idx="0">
                  <c:v>300 кг селитры</c:v>
                </c:pt>
                <c:pt idx="1">
                  <c:v>300 кг селитры + 200 кг сульфата кальция</c:v>
                </c:pt>
                <c:pt idx="2">
                  <c:v>300 кг селитры + 50 кг КАСа</c:v>
                </c:pt>
                <c:pt idx="3">
                  <c:v>400 кг селитры</c:v>
                </c:pt>
                <c:pt idx="4">
                  <c:v>600 кг селитры</c:v>
                </c:pt>
              </c:strCache>
            </c:strRef>
          </c:cat>
          <c:val>
            <c:numRef>
              <c:f>'удобр+ нормы и сроки сева'!$K$7:$O$7</c:f>
              <c:numCache>
                <c:formatCode>#,##0.0</c:formatCode>
                <c:ptCount val="5"/>
                <c:pt idx="0">
                  <c:v>73.295813953488377</c:v>
                </c:pt>
                <c:pt idx="1">
                  <c:v>68.860465116279073</c:v>
                </c:pt>
                <c:pt idx="2">
                  <c:v>75.778449612403094</c:v>
                </c:pt>
                <c:pt idx="3">
                  <c:v>71.44883720930234</c:v>
                </c:pt>
                <c:pt idx="4">
                  <c:v>69.844961240310084</c:v>
                </c:pt>
              </c:numCache>
            </c:numRef>
          </c:val>
        </c:ser>
        <c:ser>
          <c:idx val="5"/>
          <c:order val="5"/>
          <c:tx>
            <c:strRef>
              <c:f>'удобр+ нормы и сроки сева'!$J$8</c:f>
              <c:strCache>
                <c:ptCount val="1"/>
                <c:pt idx="0">
                  <c:v>Н57</c:v>
                </c:pt>
              </c:strCache>
            </c:strRef>
          </c:tx>
          <c:marker>
            <c:symbol val="none"/>
          </c:marker>
          <c:cat>
            <c:strRef>
              <c:f>'удобр+ нормы и сроки сева'!$K$2:$O$2</c:f>
              <c:strCache>
                <c:ptCount val="5"/>
                <c:pt idx="0">
                  <c:v>300 кг селитры</c:v>
                </c:pt>
                <c:pt idx="1">
                  <c:v>300 кг селитры + 200 кг сульфата кальция</c:v>
                </c:pt>
                <c:pt idx="2">
                  <c:v>300 кг селитры + 50 кг КАСа</c:v>
                </c:pt>
                <c:pt idx="3">
                  <c:v>400 кг селитры</c:v>
                </c:pt>
                <c:pt idx="4">
                  <c:v>600 кг селитры</c:v>
                </c:pt>
              </c:strCache>
            </c:strRef>
          </c:cat>
          <c:val>
            <c:numRef>
              <c:f>'удобр+ нормы и сроки сева'!$K$8:$O$8</c:f>
              <c:numCache>
                <c:formatCode>#,##0.0</c:formatCode>
                <c:ptCount val="5"/>
                <c:pt idx="0">
                  <c:v>81.656124031007735</c:v>
                </c:pt>
                <c:pt idx="1">
                  <c:v>81.801550387596905</c:v>
                </c:pt>
                <c:pt idx="2">
                  <c:v>85.363410852713173</c:v>
                </c:pt>
                <c:pt idx="3">
                  <c:v>86.332093023255823</c:v>
                </c:pt>
                <c:pt idx="4">
                  <c:v>82.354728682170531</c:v>
                </c:pt>
              </c:numCache>
            </c:numRef>
          </c:val>
        </c:ser>
        <c:ser>
          <c:idx val="6"/>
          <c:order val="6"/>
          <c:tx>
            <c:strRef>
              <c:f>'удобр+ нормы и сроки сева'!$J$9</c:f>
              <c:strCache>
                <c:ptCount val="1"/>
                <c:pt idx="0">
                  <c:v>Ермак</c:v>
                </c:pt>
              </c:strCache>
            </c:strRef>
          </c:tx>
          <c:spPr>
            <a:ln>
              <a:solidFill>
                <a:srgbClr val="9F118B"/>
              </a:solidFill>
            </a:ln>
          </c:spPr>
          <c:marker>
            <c:symbol val="none"/>
          </c:marker>
          <c:cat>
            <c:strRef>
              <c:f>'удобр+ нормы и сроки сева'!$K$2:$O$2</c:f>
              <c:strCache>
                <c:ptCount val="5"/>
                <c:pt idx="0">
                  <c:v>300 кг селитры</c:v>
                </c:pt>
                <c:pt idx="1">
                  <c:v>300 кг селитры + 200 кг сульфата кальция</c:v>
                </c:pt>
                <c:pt idx="2">
                  <c:v>300 кг селитры + 50 кг КАСа</c:v>
                </c:pt>
                <c:pt idx="3">
                  <c:v>400 кг селитры</c:v>
                </c:pt>
                <c:pt idx="4">
                  <c:v>600 кг селитры</c:v>
                </c:pt>
              </c:strCache>
            </c:strRef>
          </c:cat>
          <c:val>
            <c:numRef>
              <c:f>'удобр+ нормы и сроки сева'!$K$9:$O$9</c:f>
              <c:numCache>
                <c:formatCode>#,##0.0</c:formatCode>
                <c:ptCount val="5"/>
                <c:pt idx="0">
                  <c:v>88.018604651162804</c:v>
                </c:pt>
                <c:pt idx="1">
                  <c:v>85.965736434108507</c:v>
                </c:pt>
                <c:pt idx="2">
                  <c:v>87.301395348837218</c:v>
                </c:pt>
                <c:pt idx="3">
                  <c:v>85.002790697674428</c:v>
                </c:pt>
                <c:pt idx="4">
                  <c:v>89.058139534883722</c:v>
                </c:pt>
              </c:numCache>
            </c:numRef>
          </c:val>
        </c:ser>
        <c:marker val="1"/>
        <c:axId val="154139264"/>
        <c:axId val="154337664"/>
      </c:lineChart>
      <c:catAx>
        <c:axId val="154139264"/>
        <c:scaling>
          <c:orientation val="minMax"/>
        </c:scaling>
        <c:axPos val="b"/>
        <c:numFmt formatCode="General" sourceLinked="1"/>
        <c:tickLblPos val="nextTo"/>
        <c:crossAx val="154337664"/>
        <c:crosses val="autoZero"/>
        <c:auto val="1"/>
        <c:lblAlgn val="ctr"/>
        <c:lblOffset val="100"/>
      </c:catAx>
      <c:valAx>
        <c:axId val="154337664"/>
        <c:scaling>
          <c:orientation val="minMax"/>
          <c:min val="6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ru-RU" sz="1400"/>
                  <a:t>Урожайность,</a:t>
                </a:r>
                <a:r>
                  <a:rPr lang="ru-RU" sz="1400" baseline="0"/>
                  <a:t> ц/га</a:t>
                </a:r>
                <a:endParaRPr lang="ru-RU" sz="1400"/>
              </a:p>
            </c:rich>
          </c:tx>
          <c:layout/>
        </c:title>
        <c:numFmt formatCode="#,##0.0" sourceLinked="1"/>
        <c:tickLblPos val="nextTo"/>
        <c:crossAx val="1541392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Влияние</a:t>
            </a:r>
            <a:r>
              <a:rPr lang="ru-RU" baseline="0"/>
              <a:t> норм и сроков сева на белок, %</a:t>
            </a:r>
          </a:p>
          <a:p>
            <a:pPr>
              <a:defRPr/>
            </a:pPr>
            <a:r>
              <a:rPr lang="ru-RU" baseline="0"/>
              <a:t> Скипетр</a:t>
            </a:r>
            <a:endParaRPr lang="ru-RU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'удобр+ нормы и сроки сева'!$J$52</c:f>
              <c:strCache>
                <c:ptCount val="1"/>
                <c:pt idx="0">
                  <c:v>4 млн</c:v>
                </c:pt>
              </c:strCache>
            </c:strRef>
          </c:tx>
          <c:marker>
            <c:symbol val="none"/>
          </c:marker>
          <c:cat>
            <c:numRef>
              <c:f>'удобр+ нормы и сроки сева'!$W$51:$Z$51</c:f>
              <c:numCache>
                <c:formatCode>dd/mmm</c:formatCode>
                <c:ptCount val="4"/>
                <c:pt idx="0">
                  <c:v>42621</c:v>
                </c:pt>
                <c:pt idx="1">
                  <c:v>42623</c:v>
                </c:pt>
                <c:pt idx="2">
                  <c:v>42628</c:v>
                </c:pt>
                <c:pt idx="3">
                  <c:v>42633</c:v>
                </c:pt>
              </c:numCache>
            </c:numRef>
          </c:cat>
          <c:val>
            <c:numRef>
              <c:f>'удобр+ нормы и сроки сева'!$W$52:$Z$52</c:f>
              <c:numCache>
                <c:formatCode>General</c:formatCode>
                <c:ptCount val="4"/>
                <c:pt idx="0">
                  <c:v>11.2</c:v>
                </c:pt>
                <c:pt idx="1">
                  <c:v>11.7</c:v>
                </c:pt>
                <c:pt idx="2">
                  <c:v>11.3</c:v>
                </c:pt>
                <c:pt idx="3">
                  <c:v>13.1</c:v>
                </c:pt>
              </c:numCache>
            </c:numRef>
          </c:val>
        </c:ser>
        <c:ser>
          <c:idx val="1"/>
          <c:order val="1"/>
          <c:tx>
            <c:strRef>
              <c:f>'удобр+ нормы и сроки сева'!$J$53</c:f>
              <c:strCache>
                <c:ptCount val="1"/>
                <c:pt idx="0">
                  <c:v>5 млн</c:v>
                </c:pt>
              </c:strCache>
            </c:strRef>
          </c:tx>
          <c:marker>
            <c:symbol val="none"/>
          </c:marker>
          <c:cat>
            <c:numRef>
              <c:f>'удобр+ нормы и сроки сева'!$W$51:$Z$51</c:f>
              <c:numCache>
                <c:formatCode>dd/mmm</c:formatCode>
                <c:ptCount val="4"/>
                <c:pt idx="0">
                  <c:v>42621</c:v>
                </c:pt>
                <c:pt idx="1">
                  <c:v>42623</c:v>
                </c:pt>
                <c:pt idx="2">
                  <c:v>42628</c:v>
                </c:pt>
                <c:pt idx="3">
                  <c:v>42633</c:v>
                </c:pt>
              </c:numCache>
            </c:numRef>
          </c:cat>
          <c:val>
            <c:numRef>
              <c:f>'удобр+ нормы и сроки сева'!$W$53:$Z$53</c:f>
              <c:numCache>
                <c:formatCode>General</c:formatCode>
                <c:ptCount val="4"/>
                <c:pt idx="0">
                  <c:v>11.1</c:v>
                </c:pt>
                <c:pt idx="1">
                  <c:v>10.6</c:v>
                </c:pt>
                <c:pt idx="2">
                  <c:v>13.3</c:v>
                </c:pt>
                <c:pt idx="3">
                  <c:v>13.2</c:v>
                </c:pt>
              </c:numCache>
            </c:numRef>
          </c:val>
        </c:ser>
        <c:ser>
          <c:idx val="2"/>
          <c:order val="2"/>
          <c:tx>
            <c:strRef>
              <c:f>'удобр+ нормы и сроки сева'!$J$54</c:f>
              <c:strCache>
                <c:ptCount val="1"/>
                <c:pt idx="0">
                  <c:v>6 млн</c:v>
                </c:pt>
              </c:strCache>
            </c:strRef>
          </c:tx>
          <c:marker>
            <c:symbol val="none"/>
          </c:marker>
          <c:cat>
            <c:numRef>
              <c:f>'удобр+ нормы и сроки сева'!$W$51:$Z$51</c:f>
              <c:numCache>
                <c:formatCode>dd/mmm</c:formatCode>
                <c:ptCount val="4"/>
                <c:pt idx="0">
                  <c:v>42621</c:v>
                </c:pt>
                <c:pt idx="1">
                  <c:v>42623</c:v>
                </c:pt>
                <c:pt idx="2">
                  <c:v>42628</c:v>
                </c:pt>
                <c:pt idx="3">
                  <c:v>42633</c:v>
                </c:pt>
              </c:numCache>
            </c:numRef>
          </c:cat>
          <c:val>
            <c:numRef>
              <c:f>'удобр+ нормы и сроки сева'!$W$54:$Z$54</c:f>
              <c:numCache>
                <c:formatCode>General</c:formatCode>
                <c:ptCount val="4"/>
                <c:pt idx="0">
                  <c:v>10.9</c:v>
                </c:pt>
                <c:pt idx="1">
                  <c:v>12.3</c:v>
                </c:pt>
                <c:pt idx="2">
                  <c:v>11.1</c:v>
                </c:pt>
                <c:pt idx="3">
                  <c:v>13.1</c:v>
                </c:pt>
              </c:numCache>
            </c:numRef>
          </c:val>
        </c:ser>
        <c:marker val="1"/>
        <c:axId val="153859200"/>
        <c:axId val="153860736"/>
      </c:lineChart>
      <c:dateAx>
        <c:axId val="153859200"/>
        <c:scaling>
          <c:orientation val="minMax"/>
        </c:scaling>
        <c:axPos val="b"/>
        <c:numFmt formatCode="dd/mmm" sourceLinked="1"/>
        <c:tickLblPos val="nextTo"/>
        <c:crossAx val="153860736"/>
        <c:crosses val="autoZero"/>
        <c:auto val="1"/>
        <c:lblOffset val="100"/>
      </c:dateAx>
      <c:valAx>
        <c:axId val="153860736"/>
        <c:scaling>
          <c:orientation val="minMax"/>
          <c:min val="10"/>
        </c:scaling>
        <c:axPos val="l"/>
        <c:majorGridlines/>
        <c:numFmt formatCode="General" sourceLinked="1"/>
        <c:tickLblPos val="nextTo"/>
        <c:crossAx val="15385920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Влияние</a:t>
            </a:r>
            <a:r>
              <a:rPr lang="ru-RU" baseline="0"/>
              <a:t> удобрений свыше 3 ц аммиачной селитры на выручку с га, руб</a:t>
            </a:r>
          </a:p>
          <a:p>
            <a:pPr>
              <a:defRPr/>
            </a:pPr>
            <a:endParaRPr lang="ru-RU"/>
          </a:p>
        </c:rich>
      </c:tx>
      <c:layout/>
    </c:title>
    <c:plotArea>
      <c:layout>
        <c:manualLayout>
          <c:layoutTarget val="inner"/>
          <c:xMode val="edge"/>
          <c:yMode val="edge"/>
          <c:x val="0.10364371713322312"/>
          <c:y val="0.2685178733189334"/>
          <c:w val="0.63062795976125752"/>
          <c:h val="0.71348059368685113"/>
        </c:manualLayout>
      </c:layout>
      <c:barChart>
        <c:barDir val="col"/>
        <c:grouping val="clustered"/>
        <c:ser>
          <c:idx val="0"/>
          <c:order val="0"/>
          <c:tx>
            <c:strRef>
              <c:f>'удобр+ нормы и сроки сева'!$J$3</c:f>
              <c:strCache>
                <c:ptCount val="1"/>
                <c:pt idx="0">
                  <c:v>Гром</c:v>
                </c:pt>
              </c:strCache>
            </c:strRef>
          </c:tx>
          <c:cat>
            <c:strRef>
              <c:f>'удобр+ нормы и сроки сева'!$AJ$2:$AN$2</c:f>
              <c:strCache>
                <c:ptCount val="5"/>
                <c:pt idx="0">
                  <c:v>300 кг селитры</c:v>
                </c:pt>
                <c:pt idx="1">
                  <c:v>300 кг селитры + 200 кг сульфата кальция</c:v>
                </c:pt>
                <c:pt idx="2">
                  <c:v>300 кг селитры + 50 кг КАСа</c:v>
                </c:pt>
                <c:pt idx="3">
                  <c:v>400 кг селитры</c:v>
                </c:pt>
                <c:pt idx="4">
                  <c:v>600 кг селитры</c:v>
                </c:pt>
              </c:strCache>
            </c:strRef>
          </c:cat>
          <c:val>
            <c:numRef>
              <c:f>'удобр+ нормы и сроки сева'!$AJ$3:$AN$3</c:f>
              <c:numCache>
                <c:formatCode>#,##0</c:formatCode>
                <c:ptCount val="5"/>
                <c:pt idx="0" formatCode="General">
                  <c:v>0</c:v>
                </c:pt>
                <c:pt idx="1">
                  <c:v>1839.7054263565806</c:v>
                </c:pt>
                <c:pt idx="2">
                  <c:v>4667.674418604649</c:v>
                </c:pt>
                <c:pt idx="3">
                  <c:v>3275.3488372093052</c:v>
                </c:pt>
                <c:pt idx="4">
                  <c:v>1369.9534883720917</c:v>
                </c:pt>
              </c:numCache>
            </c:numRef>
          </c:val>
        </c:ser>
        <c:ser>
          <c:idx val="1"/>
          <c:order val="1"/>
          <c:tx>
            <c:strRef>
              <c:f>'удобр+ нормы и сроки сева'!$J$4</c:f>
              <c:strCache>
                <c:ptCount val="1"/>
                <c:pt idx="0">
                  <c:v>Губернатор Дона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cat>
            <c:strRef>
              <c:f>'удобр+ нормы и сроки сева'!$AJ$2:$AN$2</c:f>
              <c:strCache>
                <c:ptCount val="5"/>
                <c:pt idx="0">
                  <c:v>300 кг селитры</c:v>
                </c:pt>
                <c:pt idx="1">
                  <c:v>300 кг селитры + 200 кг сульфата кальция</c:v>
                </c:pt>
                <c:pt idx="2">
                  <c:v>300 кг селитры + 50 кг КАСа</c:v>
                </c:pt>
                <c:pt idx="3">
                  <c:v>400 кг селитры</c:v>
                </c:pt>
                <c:pt idx="4">
                  <c:v>600 кг селитры</c:v>
                </c:pt>
              </c:strCache>
            </c:strRef>
          </c:cat>
          <c:val>
            <c:numRef>
              <c:f>'удобр+ нормы и сроки сева'!$AJ$4:$AN$4</c:f>
              <c:numCache>
                <c:formatCode>#,##0</c:formatCode>
                <c:ptCount val="5"/>
                <c:pt idx="0" formatCode="General">
                  <c:v>0</c:v>
                </c:pt>
                <c:pt idx="1">
                  <c:v>-6684.7674418604729</c:v>
                </c:pt>
                <c:pt idx="2">
                  <c:v>-980.11627906977083</c:v>
                </c:pt>
                <c:pt idx="3">
                  <c:v>-2575.5581395348854</c:v>
                </c:pt>
                <c:pt idx="4">
                  <c:v>-2233.7131782945798</c:v>
                </c:pt>
              </c:numCache>
            </c:numRef>
          </c:val>
        </c:ser>
        <c:ser>
          <c:idx val="2"/>
          <c:order val="2"/>
          <c:tx>
            <c:strRef>
              <c:f>'удобр+ нормы и сроки сева'!$J$5</c:f>
              <c:strCache>
                <c:ptCount val="1"/>
                <c:pt idx="0">
                  <c:v>Скипетр</c:v>
                </c:pt>
              </c:strCache>
            </c:strRef>
          </c:tx>
          <c:cat>
            <c:strRef>
              <c:f>'удобр+ нормы и сроки сева'!$AJ$2:$AN$2</c:f>
              <c:strCache>
                <c:ptCount val="5"/>
                <c:pt idx="0">
                  <c:v>300 кг селитры</c:v>
                </c:pt>
                <c:pt idx="1">
                  <c:v>300 кг селитры + 200 кг сульфата кальция</c:v>
                </c:pt>
                <c:pt idx="2">
                  <c:v>300 кг селитры + 50 кг КАСа</c:v>
                </c:pt>
                <c:pt idx="3">
                  <c:v>400 кг селитры</c:v>
                </c:pt>
                <c:pt idx="4">
                  <c:v>600 кг селитры</c:v>
                </c:pt>
              </c:strCache>
            </c:strRef>
          </c:cat>
          <c:val>
            <c:numRef>
              <c:f>'удобр+ нормы и сроки сева'!$AJ$5:$AN$5</c:f>
              <c:numCache>
                <c:formatCode>#,##0</c:formatCode>
                <c:ptCount val="5"/>
                <c:pt idx="0" formatCode="General">
                  <c:v>0</c:v>
                </c:pt>
                <c:pt idx="1">
                  <c:v>-7384.3023255813969</c:v>
                </c:pt>
                <c:pt idx="2">
                  <c:v>1276.6279069767334</c:v>
                </c:pt>
                <c:pt idx="3">
                  <c:v>5.325581395343761</c:v>
                </c:pt>
                <c:pt idx="4">
                  <c:v>-7678.3023255813823</c:v>
                </c:pt>
              </c:numCache>
            </c:numRef>
          </c:val>
        </c:ser>
        <c:ser>
          <c:idx val="3"/>
          <c:order val="3"/>
          <c:tx>
            <c:strRef>
              <c:f>'удобр+ нормы и сроки сева'!$J$6</c:f>
              <c:strCache>
                <c:ptCount val="1"/>
                <c:pt idx="0">
                  <c:v>Прасковья</c:v>
                </c:pt>
              </c:strCache>
            </c:strRef>
          </c:tx>
          <c:cat>
            <c:strRef>
              <c:f>'удобр+ нормы и сроки сева'!$AJ$2:$AN$2</c:f>
              <c:strCache>
                <c:ptCount val="5"/>
                <c:pt idx="0">
                  <c:v>300 кг селитры</c:v>
                </c:pt>
                <c:pt idx="1">
                  <c:v>300 кг селитры + 200 кг сульфата кальция</c:v>
                </c:pt>
                <c:pt idx="2">
                  <c:v>300 кг селитры + 50 кг КАСа</c:v>
                </c:pt>
                <c:pt idx="3">
                  <c:v>400 кг селитры</c:v>
                </c:pt>
                <c:pt idx="4">
                  <c:v>600 кг селитры</c:v>
                </c:pt>
              </c:strCache>
            </c:strRef>
          </c:cat>
          <c:val>
            <c:numRef>
              <c:f>'удобр+ нормы и сроки сева'!$AJ$6:$AN$6</c:f>
              <c:numCache>
                <c:formatCode>#,##0</c:formatCode>
                <c:ptCount val="5"/>
                <c:pt idx="0" formatCode="General">
                  <c:v>0</c:v>
                </c:pt>
                <c:pt idx="1">
                  <c:v>-7292.6511627907093</c:v>
                </c:pt>
                <c:pt idx="2">
                  <c:v>1389.9224806201382</c:v>
                </c:pt>
                <c:pt idx="3">
                  <c:v>-1995.4263565891597</c:v>
                </c:pt>
                <c:pt idx="4">
                  <c:v>-8531.891472868243</c:v>
                </c:pt>
              </c:numCache>
            </c:numRef>
          </c:val>
        </c:ser>
        <c:ser>
          <c:idx val="4"/>
          <c:order val="4"/>
          <c:tx>
            <c:strRef>
              <c:f>'удобр+ нормы и сроки сева'!$J$7</c:f>
              <c:strCache>
                <c:ptCount val="1"/>
                <c:pt idx="0">
                  <c:v>М40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cat>
            <c:strRef>
              <c:f>'удобр+ нормы и сроки сева'!$AJ$2:$AN$2</c:f>
              <c:strCache>
                <c:ptCount val="5"/>
                <c:pt idx="0">
                  <c:v>300 кг селитры</c:v>
                </c:pt>
                <c:pt idx="1">
                  <c:v>300 кг селитры + 200 кг сульфата кальция</c:v>
                </c:pt>
                <c:pt idx="2">
                  <c:v>300 кг селитры + 50 кг КАСа</c:v>
                </c:pt>
                <c:pt idx="3">
                  <c:v>400 кг селитры</c:v>
                </c:pt>
                <c:pt idx="4">
                  <c:v>600 кг селитры</c:v>
                </c:pt>
              </c:strCache>
            </c:strRef>
          </c:cat>
          <c:val>
            <c:numRef>
              <c:f>'удобр+ нормы и сроки сева'!$AJ$7:$AN$7</c:f>
              <c:numCache>
                <c:formatCode>#,##0</c:formatCode>
                <c:ptCount val="5"/>
                <c:pt idx="0" formatCode="General">
                  <c:v>0</c:v>
                </c:pt>
                <c:pt idx="1">
                  <c:v>-6348.27906976745</c:v>
                </c:pt>
                <c:pt idx="2">
                  <c:v>1286.1085271317788</c:v>
                </c:pt>
                <c:pt idx="3">
                  <c:v>-3015.5813953488323</c:v>
                </c:pt>
                <c:pt idx="4">
                  <c:v>-7374.6821705426264</c:v>
                </c:pt>
              </c:numCache>
            </c:numRef>
          </c:val>
        </c:ser>
        <c:ser>
          <c:idx val="5"/>
          <c:order val="5"/>
          <c:tx>
            <c:strRef>
              <c:f>'удобр+ нормы и сроки сева'!$J$8</c:f>
              <c:strCache>
                <c:ptCount val="1"/>
                <c:pt idx="0">
                  <c:v>Н57</c:v>
                </c:pt>
              </c:strCache>
            </c:strRef>
          </c:tx>
          <c:cat>
            <c:strRef>
              <c:f>'удобр+ нормы и сроки сева'!$AJ$2:$AN$2</c:f>
              <c:strCache>
                <c:ptCount val="5"/>
                <c:pt idx="0">
                  <c:v>300 кг селитры</c:v>
                </c:pt>
                <c:pt idx="1">
                  <c:v>300 кг селитры + 200 кг сульфата кальция</c:v>
                </c:pt>
                <c:pt idx="2">
                  <c:v>300 кг селитры + 50 кг КАСа</c:v>
                </c:pt>
                <c:pt idx="3">
                  <c:v>400 кг селитры</c:v>
                </c:pt>
                <c:pt idx="4">
                  <c:v>600 кг селитры</c:v>
                </c:pt>
              </c:strCache>
            </c:strRef>
          </c:cat>
          <c:val>
            <c:numRef>
              <c:f>'удобр+ нормы и сроки сева'!$AJ$8:$AN$8</c:f>
              <c:numCache>
                <c:formatCode>#,##0</c:formatCode>
                <c:ptCount val="5"/>
                <c:pt idx="0" formatCode="General">
                  <c:v>0</c:v>
                </c:pt>
                <c:pt idx="1">
                  <c:v>-6773.7364341085195</c:v>
                </c:pt>
                <c:pt idx="2">
                  <c:v>2265.8294573643434</c:v>
                </c:pt>
                <c:pt idx="3">
                  <c:v>2202.7751937984649</c:v>
                </c:pt>
                <c:pt idx="4">
                  <c:v>-4055.1162790697636</c:v>
                </c:pt>
              </c:numCache>
            </c:numRef>
          </c:val>
        </c:ser>
        <c:ser>
          <c:idx val="6"/>
          <c:order val="6"/>
          <c:tx>
            <c:strRef>
              <c:f>'удобр+ нормы и сроки сева'!$J$9</c:f>
              <c:strCache>
                <c:ptCount val="1"/>
                <c:pt idx="0">
                  <c:v>Ермак</c:v>
                </c:pt>
              </c:strCache>
            </c:strRef>
          </c:tx>
          <c:spPr>
            <a:solidFill>
              <a:srgbClr val="9F118B"/>
            </a:solidFill>
          </c:spPr>
          <c:cat>
            <c:strRef>
              <c:f>'удобр+ нормы и сроки сева'!$AJ$2:$AN$2</c:f>
              <c:strCache>
                <c:ptCount val="5"/>
                <c:pt idx="0">
                  <c:v>300 кг селитры</c:v>
                </c:pt>
                <c:pt idx="1">
                  <c:v>300 кг селитры + 200 кг сульфата кальция</c:v>
                </c:pt>
                <c:pt idx="2">
                  <c:v>300 кг селитры + 50 кг КАСа</c:v>
                </c:pt>
                <c:pt idx="3">
                  <c:v>400 кг селитры</c:v>
                </c:pt>
                <c:pt idx="4">
                  <c:v>600 кг селитры</c:v>
                </c:pt>
              </c:strCache>
            </c:strRef>
          </c:cat>
          <c:val>
            <c:numRef>
              <c:f>'удобр+ нормы и сроки сева'!$AJ$9:$AN$9</c:f>
              <c:numCache>
                <c:formatCode>#,##0</c:formatCode>
                <c:ptCount val="5"/>
                <c:pt idx="0" formatCode="General">
                  <c:v>0</c:v>
                </c:pt>
                <c:pt idx="1">
                  <c:v>-4339.6511627907312</c:v>
                </c:pt>
                <c:pt idx="2">
                  <c:v>-1237.9069767441979</c:v>
                </c:pt>
                <c:pt idx="3">
                  <c:v>450.27906976743543</c:v>
                </c:pt>
                <c:pt idx="4">
                  <c:v>-3834.3488372093125</c:v>
                </c:pt>
              </c:numCache>
            </c:numRef>
          </c:val>
        </c:ser>
        <c:axId val="154700800"/>
        <c:axId val="154710784"/>
      </c:barChart>
      <c:catAx>
        <c:axId val="154700800"/>
        <c:scaling>
          <c:orientation val="minMax"/>
        </c:scaling>
        <c:axPos val="b"/>
        <c:numFmt formatCode="General" sourceLinked="1"/>
        <c:tickLblPos val="nextTo"/>
        <c:crossAx val="154710784"/>
        <c:crosses val="autoZero"/>
        <c:auto val="1"/>
        <c:lblAlgn val="ctr"/>
        <c:lblOffset val="100"/>
      </c:catAx>
      <c:valAx>
        <c:axId val="154710784"/>
        <c:scaling>
          <c:orientation val="minMax"/>
        </c:scaling>
        <c:axPos val="l"/>
        <c:majorGridlines/>
        <c:numFmt formatCode="General" sourceLinked="1"/>
        <c:tickLblPos val="nextTo"/>
        <c:crossAx val="1547008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Влияние</a:t>
            </a:r>
            <a:r>
              <a:rPr lang="ru-RU" baseline="0"/>
              <a:t> удобрений на качество, белок, %</a:t>
            </a:r>
            <a:endParaRPr lang="ru-RU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'удобр+ нормы и сроки сева'!$J$3</c:f>
              <c:strCache>
                <c:ptCount val="1"/>
                <c:pt idx="0">
                  <c:v>Гром</c:v>
                </c:pt>
              </c:strCache>
            </c:strRef>
          </c:tx>
          <c:marker>
            <c:symbol val="none"/>
          </c:marker>
          <c:cat>
            <c:strRef>
              <c:f>'удобр+ нормы и сроки сева'!$P$2:$T$2</c:f>
              <c:strCache>
                <c:ptCount val="5"/>
                <c:pt idx="0">
                  <c:v>300 кг селитры</c:v>
                </c:pt>
                <c:pt idx="1">
                  <c:v>300 кг селитры + 200 кг сульфата кальция</c:v>
                </c:pt>
                <c:pt idx="2">
                  <c:v>300 кг селитры + 50 кг КАСа</c:v>
                </c:pt>
                <c:pt idx="3">
                  <c:v>400 кг селитры</c:v>
                </c:pt>
                <c:pt idx="4">
                  <c:v>600 кг селитры</c:v>
                </c:pt>
              </c:strCache>
            </c:strRef>
          </c:cat>
          <c:val>
            <c:numRef>
              <c:f>'удобр+ нормы и сроки сева'!$P$3:$T$3</c:f>
              <c:numCache>
                <c:formatCode>General</c:formatCode>
                <c:ptCount val="5"/>
                <c:pt idx="0">
                  <c:v>11.4</c:v>
                </c:pt>
                <c:pt idx="1">
                  <c:v>13.9</c:v>
                </c:pt>
                <c:pt idx="2">
                  <c:v>12.7</c:v>
                </c:pt>
                <c:pt idx="3">
                  <c:v>14</c:v>
                </c:pt>
                <c:pt idx="4">
                  <c:v>13.5</c:v>
                </c:pt>
              </c:numCache>
            </c:numRef>
          </c:val>
        </c:ser>
        <c:ser>
          <c:idx val="1"/>
          <c:order val="1"/>
          <c:tx>
            <c:strRef>
              <c:f>'удобр+ нормы и сроки сева'!$J$4</c:f>
              <c:strCache>
                <c:ptCount val="1"/>
                <c:pt idx="0">
                  <c:v>Губернатор Дона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'удобр+ нормы и сроки сева'!$P$2:$T$2</c:f>
              <c:strCache>
                <c:ptCount val="5"/>
                <c:pt idx="0">
                  <c:v>300 кг селитры</c:v>
                </c:pt>
                <c:pt idx="1">
                  <c:v>300 кг селитры + 200 кг сульфата кальция</c:v>
                </c:pt>
                <c:pt idx="2">
                  <c:v>300 кг селитры + 50 кг КАСа</c:v>
                </c:pt>
                <c:pt idx="3">
                  <c:v>400 кг селитры</c:v>
                </c:pt>
                <c:pt idx="4">
                  <c:v>600 кг селитры</c:v>
                </c:pt>
              </c:strCache>
            </c:strRef>
          </c:cat>
          <c:val>
            <c:numRef>
              <c:f>'удобр+ нормы и сроки сева'!$P$4:$T$4</c:f>
              <c:numCache>
                <c:formatCode>General</c:formatCode>
                <c:ptCount val="5"/>
                <c:pt idx="0">
                  <c:v>12.7</c:v>
                </c:pt>
                <c:pt idx="1">
                  <c:v>12</c:v>
                </c:pt>
                <c:pt idx="2">
                  <c:v>12.6</c:v>
                </c:pt>
                <c:pt idx="3">
                  <c:v>12.6</c:v>
                </c:pt>
                <c:pt idx="4">
                  <c:v>13.6</c:v>
                </c:pt>
              </c:numCache>
            </c:numRef>
          </c:val>
        </c:ser>
        <c:ser>
          <c:idx val="2"/>
          <c:order val="2"/>
          <c:tx>
            <c:strRef>
              <c:f>'удобр+ нормы и сроки сева'!$J$5</c:f>
              <c:strCache>
                <c:ptCount val="1"/>
                <c:pt idx="0">
                  <c:v>Скипетр</c:v>
                </c:pt>
              </c:strCache>
            </c:strRef>
          </c:tx>
          <c:marker>
            <c:symbol val="none"/>
          </c:marker>
          <c:cat>
            <c:strRef>
              <c:f>'удобр+ нормы и сроки сева'!$P$2:$T$2</c:f>
              <c:strCache>
                <c:ptCount val="5"/>
                <c:pt idx="0">
                  <c:v>300 кг селитры</c:v>
                </c:pt>
                <c:pt idx="1">
                  <c:v>300 кг селитры + 200 кг сульфата кальция</c:v>
                </c:pt>
                <c:pt idx="2">
                  <c:v>300 кг селитры + 50 кг КАСа</c:v>
                </c:pt>
                <c:pt idx="3">
                  <c:v>400 кг селитры</c:v>
                </c:pt>
                <c:pt idx="4">
                  <c:v>600 кг селитры</c:v>
                </c:pt>
              </c:strCache>
            </c:strRef>
          </c:cat>
          <c:val>
            <c:numRef>
              <c:f>'удобр+ нормы и сроки сева'!$P$5:$T$5</c:f>
              <c:numCache>
                <c:formatCode>General</c:formatCode>
                <c:ptCount val="5"/>
                <c:pt idx="0">
                  <c:v>11.1</c:v>
                </c:pt>
                <c:pt idx="1">
                  <c:v>13.6</c:v>
                </c:pt>
                <c:pt idx="2">
                  <c:v>13</c:v>
                </c:pt>
                <c:pt idx="3">
                  <c:v>13.9</c:v>
                </c:pt>
                <c:pt idx="4">
                  <c:v>12.9</c:v>
                </c:pt>
              </c:numCache>
            </c:numRef>
          </c:val>
        </c:ser>
        <c:ser>
          <c:idx val="3"/>
          <c:order val="3"/>
          <c:tx>
            <c:strRef>
              <c:f>'удобр+ нормы и сроки сева'!$J$6</c:f>
              <c:strCache>
                <c:ptCount val="1"/>
                <c:pt idx="0">
                  <c:v>Прасковья</c:v>
                </c:pt>
              </c:strCache>
            </c:strRef>
          </c:tx>
          <c:marker>
            <c:symbol val="none"/>
          </c:marker>
          <c:cat>
            <c:strRef>
              <c:f>'удобр+ нормы и сроки сева'!$P$2:$T$2</c:f>
              <c:strCache>
                <c:ptCount val="5"/>
                <c:pt idx="0">
                  <c:v>300 кг селитры</c:v>
                </c:pt>
                <c:pt idx="1">
                  <c:v>300 кг селитры + 200 кг сульфата кальция</c:v>
                </c:pt>
                <c:pt idx="2">
                  <c:v>300 кг селитры + 50 кг КАСа</c:v>
                </c:pt>
                <c:pt idx="3">
                  <c:v>400 кг селитры</c:v>
                </c:pt>
                <c:pt idx="4">
                  <c:v>600 кг селитры</c:v>
                </c:pt>
              </c:strCache>
            </c:strRef>
          </c:cat>
          <c:val>
            <c:numRef>
              <c:f>'удобр+ нормы и сроки сева'!$P$6:$T$6</c:f>
              <c:numCache>
                <c:formatCode>General</c:formatCode>
                <c:ptCount val="5"/>
                <c:pt idx="0">
                  <c:v>14.5</c:v>
                </c:pt>
                <c:pt idx="1">
                  <c:v>13.9</c:v>
                </c:pt>
                <c:pt idx="2">
                  <c:v>14.8</c:v>
                </c:pt>
                <c:pt idx="3">
                  <c:v>13.8</c:v>
                </c:pt>
                <c:pt idx="4">
                  <c:v>15.8</c:v>
                </c:pt>
              </c:numCache>
            </c:numRef>
          </c:val>
        </c:ser>
        <c:ser>
          <c:idx val="4"/>
          <c:order val="4"/>
          <c:tx>
            <c:strRef>
              <c:f>'удобр+ нормы и сроки сева'!$J$7</c:f>
              <c:strCache>
                <c:ptCount val="1"/>
                <c:pt idx="0">
                  <c:v>М40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'удобр+ нормы и сроки сева'!$P$2:$T$2</c:f>
              <c:strCache>
                <c:ptCount val="5"/>
                <c:pt idx="0">
                  <c:v>300 кг селитры</c:v>
                </c:pt>
                <c:pt idx="1">
                  <c:v>300 кг селитры + 200 кг сульфата кальция</c:v>
                </c:pt>
                <c:pt idx="2">
                  <c:v>300 кг селитры + 50 кг КАСа</c:v>
                </c:pt>
                <c:pt idx="3">
                  <c:v>400 кг селитры</c:v>
                </c:pt>
                <c:pt idx="4">
                  <c:v>600 кг селитры</c:v>
                </c:pt>
              </c:strCache>
            </c:strRef>
          </c:cat>
          <c:val>
            <c:numRef>
              <c:f>'удобр+ нормы и сроки сева'!$P$7:$T$7</c:f>
              <c:numCache>
                <c:formatCode>General</c:formatCode>
                <c:ptCount val="5"/>
                <c:pt idx="0">
                  <c:v>14.4</c:v>
                </c:pt>
                <c:pt idx="1">
                  <c:v>17.7</c:v>
                </c:pt>
                <c:pt idx="2">
                  <c:v>16.2</c:v>
                </c:pt>
                <c:pt idx="3">
                  <c:v>17.7</c:v>
                </c:pt>
                <c:pt idx="4">
                  <c:v>17.8</c:v>
                </c:pt>
              </c:numCache>
            </c:numRef>
          </c:val>
        </c:ser>
        <c:ser>
          <c:idx val="5"/>
          <c:order val="5"/>
          <c:tx>
            <c:strRef>
              <c:f>'удобр+ нормы и сроки сева'!$J$8</c:f>
              <c:strCache>
                <c:ptCount val="1"/>
                <c:pt idx="0">
                  <c:v>Н57</c:v>
                </c:pt>
              </c:strCache>
            </c:strRef>
          </c:tx>
          <c:marker>
            <c:symbol val="none"/>
          </c:marker>
          <c:cat>
            <c:strRef>
              <c:f>'удобр+ нормы и сроки сева'!$P$2:$T$2</c:f>
              <c:strCache>
                <c:ptCount val="5"/>
                <c:pt idx="0">
                  <c:v>300 кг селитры</c:v>
                </c:pt>
                <c:pt idx="1">
                  <c:v>300 кг селитры + 200 кг сульфата кальция</c:v>
                </c:pt>
                <c:pt idx="2">
                  <c:v>300 кг селитры + 50 кг КАСа</c:v>
                </c:pt>
                <c:pt idx="3">
                  <c:v>400 кг селитры</c:v>
                </c:pt>
                <c:pt idx="4">
                  <c:v>600 кг селитры</c:v>
                </c:pt>
              </c:strCache>
            </c:strRef>
          </c:cat>
          <c:val>
            <c:numRef>
              <c:f>'удобр+ нормы и сроки сева'!$P$8:$T$8</c:f>
              <c:numCache>
                <c:formatCode>General</c:formatCode>
                <c:ptCount val="5"/>
                <c:pt idx="0">
                  <c:v>14</c:v>
                </c:pt>
                <c:pt idx="1">
                  <c:v>13.4</c:v>
                </c:pt>
                <c:pt idx="2">
                  <c:v>14.5</c:v>
                </c:pt>
                <c:pt idx="3">
                  <c:v>13.5</c:v>
                </c:pt>
                <c:pt idx="4">
                  <c:v>14.2</c:v>
                </c:pt>
              </c:numCache>
            </c:numRef>
          </c:val>
        </c:ser>
        <c:ser>
          <c:idx val="6"/>
          <c:order val="6"/>
          <c:tx>
            <c:strRef>
              <c:f>'удобр+ нормы и сроки сева'!$J$9</c:f>
              <c:strCache>
                <c:ptCount val="1"/>
                <c:pt idx="0">
                  <c:v>Ермак</c:v>
                </c:pt>
              </c:strCache>
            </c:strRef>
          </c:tx>
          <c:spPr>
            <a:ln>
              <a:solidFill>
                <a:srgbClr val="9F118B"/>
              </a:solidFill>
            </a:ln>
          </c:spPr>
          <c:marker>
            <c:symbol val="none"/>
          </c:marker>
          <c:cat>
            <c:strRef>
              <c:f>'удобр+ нормы и сроки сева'!$P$2:$T$2</c:f>
              <c:strCache>
                <c:ptCount val="5"/>
                <c:pt idx="0">
                  <c:v>300 кг селитры</c:v>
                </c:pt>
                <c:pt idx="1">
                  <c:v>300 кг селитры + 200 кг сульфата кальция</c:v>
                </c:pt>
                <c:pt idx="2">
                  <c:v>300 кг селитры + 50 кг КАСа</c:v>
                </c:pt>
                <c:pt idx="3">
                  <c:v>400 кг селитры</c:v>
                </c:pt>
                <c:pt idx="4">
                  <c:v>600 кг селитры</c:v>
                </c:pt>
              </c:strCache>
            </c:strRef>
          </c:cat>
          <c:val>
            <c:numRef>
              <c:f>'удобр+ нормы и сроки сева'!$P$9:$T$9</c:f>
              <c:numCache>
                <c:formatCode>General</c:formatCode>
                <c:ptCount val="5"/>
                <c:pt idx="0">
                  <c:v>11.5</c:v>
                </c:pt>
                <c:pt idx="1">
                  <c:v>13</c:v>
                </c:pt>
                <c:pt idx="2">
                  <c:v>12.3</c:v>
                </c:pt>
                <c:pt idx="3">
                  <c:v>13.5</c:v>
                </c:pt>
                <c:pt idx="4">
                  <c:v>12.9</c:v>
                </c:pt>
              </c:numCache>
            </c:numRef>
          </c:val>
        </c:ser>
        <c:marker val="1"/>
        <c:axId val="122127872"/>
        <c:axId val="122129408"/>
      </c:lineChart>
      <c:catAx>
        <c:axId val="122127872"/>
        <c:scaling>
          <c:orientation val="minMax"/>
        </c:scaling>
        <c:axPos val="b"/>
        <c:numFmt formatCode="General" sourceLinked="1"/>
        <c:tickLblPos val="nextTo"/>
        <c:crossAx val="122129408"/>
        <c:crosses val="autoZero"/>
        <c:auto val="1"/>
        <c:lblAlgn val="ctr"/>
        <c:lblOffset val="100"/>
      </c:catAx>
      <c:valAx>
        <c:axId val="122129408"/>
        <c:scaling>
          <c:orientation val="minMax"/>
          <c:max val="18"/>
          <c:min val="11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ru-RU" sz="1400"/>
                  <a:t>Белок,%</a:t>
                </a:r>
              </a:p>
            </c:rich>
          </c:tx>
          <c:layout/>
        </c:title>
        <c:numFmt formatCode="General" sourceLinked="1"/>
        <c:tickLblPos val="nextTo"/>
        <c:crossAx val="1221278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Влияние</a:t>
            </a:r>
            <a:r>
              <a:rPr lang="ru-RU" baseline="0"/>
              <a:t> норм и сроков сева на урожайность, ц/га</a:t>
            </a:r>
          </a:p>
          <a:p>
            <a:pPr>
              <a:defRPr/>
            </a:pPr>
            <a:r>
              <a:rPr lang="ru-RU" baseline="0"/>
              <a:t>Гром</a:t>
            </a:r>
            <a:endParaRPr lang="ru-RU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'удобр+ нормы и сроки сева'!$J$34</c:f>
              <c:strCache>
                <c:ptCount val="1"/>
                <c:pt idx="0">
                  <c:v>4 млн</c:v>
                </c:pt>
              </c:strCache>
            </c:strRef>
          </c:tx>
          <c:marker>
            <c:symbol val="none"/>
          </c:marker>
          <c:cat>
            <c:numRef>
              <c:f>'удобр+ нормы и сроки сева'!$S$33:$V$33</c:f>
              <c:numCache>
                <c:formatCode>dd/mmm</c:formatCode>
                <c:ptCount val="4"/>
                <c:pt idx="0">
                  <c:v>42621</c:v>
                </c:pt>
                <c:pt idx="1">
                  <c:v>42623</c:v>
                </c:pt>
                <c:pt idx="2">
                  <c:v>42628</c:v>
                </c:pt>
                <c:pt idx="3">
                  <c:v>42633</c:v>
                </c:pt>
              </c:numCache>
            </c:numRef>
          </c:cat>
          <c:val>
            <c:numRef>
              <c:f>'удобр+ нормы и сроки сева'!$S$34:$V$34</c:f>
              <c:numCache>
                <c:formatCode>#,##0.0</c:formatCode>
                <c:ptCount val="4"/>
                <c:pt idx="0">
                  <c:v>73.172093023255812</c:v>
                </c:pt>
                <c:pt idx="1">
                  <c:v>72.690232558139542</c:v>
                </c:pt>
                <c:pt idx="2">
                  <c:v>66.973023255813956</c:v>
                </c:pt>
                <c:pt idx="3">
                  <c:v>73.370852713178294</c:v>
                </c:pt>
              </c:numCache>
            </c:numRef>
          </c:val>
        </c:ser>
        <c:ser>
          <c:idx val="1"/>
          <c:order val="1"/>
          <c:tx>
            <c:strRef>
              <c:f>'удобр+ нормы и сроки сева'!$J$35</c:f>
              <c:strCache>
                <c:ptCount val="1"/>
                <c:pt idx="0">
                  <c:v>5 млн</c:v>
                </c:pt>
              </c:strCache>
            </c:strRef>
          </c:tx>
          <c:marker>
            <c:symbol val="none"/>
          </c:marker>
          <c:cat>
            <c:numRef>
              <c:f>'удобр+ нормы и сроки сева'!$S$33:$V$33</c:f>
              <c:numCache>
                <c:formatCode>dd/mmm</c:formatCode>
                <c:ptCount val="4"/>
                <c:pt idx="0">
                  <c:v>42621</c:v>
                </c:pt>
                <c:pt idx="1">
                  <c:v>42623</c:v>
                </c:pt>
                <c:pt idx="2">
                  <c:v>42628</c:v>
                </c:pt>
                <c:pt idx="3">
                  <c:v>42633</c:v>
                </c:pt>
              </c:numCache>
            </c:numRef>
          </c:cat>
          <c:val>
            <c:numRef>
              <c:f>'удобр+ нормы и сроки сева'!$S$35:$V$35</c:f>
              <c:numCache>
                <c:formatCode>#,##0.0</c:formatCode>
                <c:ptCount val="4"/>
                <c:pt idx="0">
                  <c:v>75.190852713178302</c:v>
                </c:pt>
                <c:pt idx="1">
                  <c:v>74.646976744186048</c:v>
                </c:pt>
                <c:pt idx="2">
                  <c:v>70.567906976744183</c:v>
                </c:pt>
                <c:pt idx="3">
                  <c:v>76.647286821705421</c:v>
                </c:pt>
              </c:numCache>
            </c:numRef>
          </c:val>
        </c:ser>
        <c:ser>
          <c:idx val="2"/>
          <c:order val="2"/>
          <c:tx>
            <c:strRef>
              <c:f>'удобр+ нормы и сроки сева'!$J$36</c:f>
              <c:strCache>
                <c:ptCount val="1"/>
                <c:pt idx="0">
                  <c:v>6 млн</c:v>
                </c:pt>
              </c:strCache>
            </c:strRef>
          </c:tx>
          <c:marker>
            <c:symbol val="none"/>
          </c:marker>
          <c:cat>
            <c:numRef>
              <c:f>'удобр+ нормы и сроки сева'!$S$33:$V$33</c:f>
              <c:numCache>
                <c:formatCode>dd/mmm</c:formatCode>
                <c:ptCount val="4"/>
                <c:pt idx="0">
                  <c:v>42621</c:v>
                </c:pt>
                <c:pt idx="1">
                  <c:v>42623</c:v>
                </c:pt>
                <c:pt idx="2">
                  <c:v>42628</c:v>
                </c:pt>
                <c:pt idx="3">
                  <c:v>42633</c:v>
                </c:pt>
              </c:numCache>
            </c:numRef>
          </c:cat>
          <c:val>
            <c:numRef>
              <c:f>'удобр+ нормы и сроки сева'!$S$36:$V$36</c:f>
              <c:numCache>
                <c:formatCode>#,##0.0</c:formatCode>
                <c:ptCount val="4"/>
                <c:pt idx="0">
                  <c:v>76.501705426356594</c:v>
                </c:pt>
                <c:pt idx="1">
                  <c:v>75.968992248062023</c:v>
                </c:pt>
                <c:pt idx="2">
                  <c:v>67.558139534883708</c:v>
                </c:pt>
                <c:pt idx="3">
                  <c:v>73.511627906976756</c:v>
                </c:pt>
              </c:numCache>
            </c:numRef>
          </c:val>
        </c:ser>
        <c:marker val="1"/>
        <c:axId val="122168448"/>
        <c:axId val="122169984"/>
      </c:lineChart>
      <c:dateAx>
        <c:axId val="122168448"/>
        <c:scaling>
          <c:orientation val="minMax"/>
        </c:scaling>
        <c:axPos val="b"/>
        <c:numFmt formatCode="dd/mmm" sourceLinked="1"/>
        <c:tickLblPos val="nextTo"/>
        <c:crossAx val="122169984"/>
        <c:crosses val="autoZero"/>
        <c:auto val="1"/>
        <c:lblOffset val="100"/>
        <c:majorUnit val="5"/>
        <c:majorTimeUnit val="days"/>
      </c:dateAx>
      <c:valAx>
        <c:axId val="122169984"/>
        <c:scaling>
          <c:orientation val="minMax"/>
        </c:scaling>
        <c:axPos val="l"/>
        <c:majorGridlines/>
        <c:numFmt formatCode="#,##0.0" sourceLinked="1"/>
        <c:tickLblPos val="nextTo"/>
        <c:crossAx val="12216844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Влияние</a:t>
            </a:r>
            <a:r>
              <a:rPr lang="ru-RU" baseline="0"/>
              <a:t> норм и сроков сева на белок, %,</a:t>
            </a:r>
          </a:p>
          <a:p>
            <a:pPr>
              <a:defRPr/>
            </a:pPr>
            <a:r>
              <a:rPr lang="ru-RU" baseline="0"/>
              <a:t> Гром</a:t>
            </a:r>
            <a:endParaRPr lang="ru-RU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'удобр+ нормы и сроки сева'!$J$34</c:f>
              <c:strCache>
                <c:ptCount val="1"/>
                <c:pt idx="0">
                  <c:v>4 млн</c:v>
                </c:pt>
              </c:strCache>
            </c:strRef>
          </c:tx>
          <c:marker>
            <c:symbol val="none"/>
          </c:marker>
          <c:cat>
            <c:numRef>
              <c:f>'удобр+ нормы и сроки сева'!$W$33:$Z$33</c:f>
              <c:numCache>
                <c:formatCode>dd/mmm</c:formatCode>
                <c:ptCount val="4"/>
                <c:pt idx="0">
                  <c:v>42621</c:v>
                </c:pt>
                <c:pt idx="1">
                  <c:v>42623</c:v>
                </c:pt>
                <c:pt idx="2">
                  <c:v>42628</c:v>
                </c:pt>
                <c:pt idx="3">
                  <c:v>42633</c:v>
                </c:pt>
              </c:numCache>
            </c:numRef>
          </c:cat>
          <c:val>
            <c:numRef>
              <c:f>'удобр+ нормы и сроки сева'!$W$34:$Z$34</c:f>
              <c:numCache>
                <c:formatCode>General</c:formatCode>
                <c:ptCount val="4"/>
                <c:pt idx="0">
                  <c:v>12</c:v>
                </c:pt>
                <c:pt idx="1">
                  <c:v>12.7</c:v>
                </c:pt>
                <c:pt idx="2">
                  <c:v>12.2</c:v>
                </c:pt>
                <c:pt idx="3">
                  <c:v>13.2</c:v>
                </c:pt>
              </c:numCache>
            </c:numRef>
          </c:val>
        </c:ser>
        <c:ser>
          <c:idx val="1"/>
          <c:order val="1"/>
          <c:tx>
            <c:strRef>
              <c:f>'удобр+ нормы и сроки сева'!$J$35</c:f>
              <c:strCache>
                <c:ptCount val="1"/>
                <c:pt idx="0">
                  <c:v>5 млн</c:v>
                </c:pt>
              </c:strCache>
            </c:strRef>
          </c:tx>
          <c:marker>
            <c:symbol val="none"/>
          </c:marker>
          <c:cat>
            <c:numRef>
              <c:f>'удобр+ нормы и сроки сева'!$W$33:$Z$33</c:f>
              <c:numCache>
                <c:formatCode>dd/mmm</c:formatCode>
                <c:ptCount val="4"/>
                <c:pt idx="0">
                  <c:v>42621</c:v>
                </c:pt>
                <c:pt idx="1">
                  <c:v>42623</c:v>
                </c:pt>
                <c:pt idx="2">
                  <c:v>42628</c:v>
                </c:pt>
                <c:pt idx="3">
                  <c:v>42633</c:v>
                </c:pt>
              </c:numCache>
            </c:numRef>
          </c:cat>
          <c:val>
            <c:numRef>
              <c:f>'удобр+ нормы и сроки сева'!$W$35:$Z$35</c:f>
              <c:numCache>
                <c:formatCode>General</c:formatCode>
                <c:ptCount val="4"/>
                <c:pt idx="0">
                  <c:v>12.4</c:v>
                </c:pt>
                <c:pt idx="1">
                  <c:v>11.4</c:v>
                </c:pt>
                <c:pt idx="2">
                  <c:v>13.3</c:v>
                </c:pt>
                <c:pt idx="3">
                  <c:v>11.7</c:v>
                </c:pt>
              </c:numCache>
            </c:numRef>
          </c:val>
        </c:ser>
        <c:ser>
          <c:idx val="2"/>
          <c:order val="2"/>
          <c:tx>
            <c:strRef>
              <c:f>'удобр+ нормы и сроки сева'!$J$36</c:f>
              <c:strCache>
                <c:ptCount val="1"/>
                <c:pt idx="0">
                  <c:v>6 млн</c:v>
                </c:pt>
              </c:strCache>
            </c:strRef>
          </c:tx>
          <c:marker>
            <c:symbol val="none"/>
          </c:marker>
          <c:cat>
            <c:numRef>
              <c:f>'удобр+ нормы и сроки сева'!$W$33:$Z$33</c:f>
              <c:numCache>
                <c:formatCode>dd/mmm</c:formatCode>
                <c:ptCount val="4"/>
                <c:pt idx="0">
                  <c:v>42621</c:v>
                </c:pt>
                <c:pt idx="1">
                  <c:v>42623</c:v>
                </c:pt>
                <c:pt idx="2">
                  <c:v>42628</c:v>
                </c:pt>
                <c:pt idx="3">
                  <c:v>42633</c:v>
                </c:pt>
              </c:numCache>
            </c:numRef>
          </c:cat>
          <c:val>
            <c:numRef>
              <c:f>'удобр+ нормы и сроки сева'!$W$36:$Z$36</c:f>
              <c:numCache>
                <c:formatCode>General</c:formatCode>
                <c:ptCount val="4"/>
                <c:pt idx="0">
                  <c:v>11.4</c:v>
                </c:pt>
                <c:pt idx="1">
                  <c:v>13.2</c:v>
                </c:pt>
                <c:pt idx="2">
                  <c:v>12.8</c:v>
                </c:pt>
                <c:pt idx="3">
                  <c:v>12.9</c:v>
                </c:pt>
              </c:numCache>
            </c:numRef>
          </c:val>
        </c:ser>
        <c:marker val="1"/>
        <c:axId val="122195968"/>
        <c:axId val="122197504"/>
      </c:lineChart>
      <c:dateAx>
        <c:axId val="122195968"/>
        <c:scaling>
          <c:orientation val="minMax"/>
        </c:scaling>
        <c:axPos val="b"/>
        <c:numFmt formatCode="dd/mmm" sourceLinked="1"/>
        <c:tickLblPos val="nextTo"/>
        <c:crossAx val="122197504"/>
        <c:crosses val="autoZero"/>
        <c:auto val="1"/>
        <c:lblOffset val="100"/>
        <c:majorUnit val="5"/>
        <c:majorTimeUnit val="days"/>
      </c:dateAx>
      <c:valAx>
        <c:axId val="122197504"/>
        <c:scaling>
          <c:orientation val="minMax"/>
        </c:scaling>
        <c:axPos val="l"/>
        <c:majorGridlines/>
        <c:numFmt formatCode="General" sourceLinked="1"/>
        <c:tickLblPos val="nextTo"/>
        <c:crossAx val="12219596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Влияние</a:t>
            </a:r>
            <a:r>
              <a:rPr lang="ru-RU" baseline="0"/>
              <a:t> сроков сева и норм на урожайность, ц/га</a:t>
            </a:r>
          </a:p>
          <a:p>
            <a:pPr>
              <a:defRPr/>
            </a:pPr>
            <a:r>
              <a:rPr lang="ru-RU" baseline="0"/>
              <a:t> Губернатор Дона</a:t>
            </a:r>
            <a:endParaRPr lang="ru-RU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'удобр+ нормы и сроки сева'!$J$40</c:f>
              <c:strCache>
                <c:ptCount val="1"/>
                <c:pt idx="0">
                  <c:v>4 млн</c:v>
                </c:pt>
              </c:strCache>
            </c:strRef>
          </c:tx>
          <c:marker>
            <c:symbol val="none"/>
          </c:marker>
          <c:cat>
            <c:numRef>
              <c:f>'удобр+ нормы и сроки сева'!$S$39:$V$39</c:f>
              <c:numCache>
                <c:formatCode>dd/mmm</c:formatCode>
                <c:ptCount val="4"/>
                <c:pt idx="0">
                  <c:v>42621</c:v>
                </c:pt>
                <c:pt idx="1">
                  <c:v>42623</c:v>
                </c:pt>
                <c:pt idx="2">
                  <c:v>42628</c:v>
                </c:pt>
                <c:pt idx="3">
                  <c:v>42633</c:v>
                </c:pt>
              </c:numCache>
            </c:numRef>
          </c:cat>
          <c:val>
            <c:numRef>
              <c:f>'удобр+ нормы и сроки сева'!$S$40:$V$40</c:f>
              <c:numCache>
                <c:formatCode>#,##0.0</c:formatCode>
                <c:ptCount val="4"/>
                <c:pt idx="0">
                  <c:v>85.116589147286817</c:v>
                </c:pt>
                <c:pt idx="1">
                  <c:v>85.134883720930233</c:v>
                </c:pt>
                <c:pt idx="2">
                  <c:v>86.513488372093022</c:v>
                </c:pt>
                <c:pt idx="3">
                  <c:v>85.134883720930233</c:v>
                </c:pt>
              </c:numCache>
            </c:numRef>
          </c:val>
        </c:ser>
        <c:ser>
          <c:idx val="1"/>
          <c:order val="1"/>
          <c:tx>
            <c:strRef>
              <c:f>'удобр+ нормы и сроки сева'!$J$41</c:f>
              <c:strCache>
                <c:ptCount val="1"/>
                <c:pt idx="0">
                  <c:v>5 млн</c:v>
                </c:pt>
              </c:strCache>
            </c:strRef>
          </c:tx>
          <c:marker>
            <c:symbol val="none"/>
          </c:marker>
          <c:cat>
            <c:numRef>
              <c:f>'удобр+ нормы и сроки сева'!$S$39:$V$39</c:f>
              <c:numCache>
                <c:formatCode>dd/mmm</c:formatCode>
                <c:ptCount val="4"/>
                <c:pt idx="0">
                  <c:v>42621</c:v>
                </c:pt>
                <c:pt idx="1">
                  <c:v>42623</c:v>
                </c:pt>
                <c:pt idx="2">
                  <c:v>42628</c:v>
                </c:pt>
                <c:pt idx="3">
                  <c:v>42633</c:v>
                </c:pt>
              </c:numCache>
            </c:numRef>
          </c:cat>
          <c:val>
            <c:numRef>
              <c:f>'удобр+ нормы и сроки сева'!$S$41:$V$41</c:f>
              <c:numCache>
                <c:formatCode>#,##0.0</c:formatCode>
                <c:ptCount val="4"/>
                <c:pt idx="0">
                  <c:v>82.167441860465118</c:v>
                </c:pt>
                <c:pt idx="1">
                  <c:v>85.485891472868218</c:v>
                </c:pt>
                <c:pt idx="2">
                  <c:v>82.167441860465118</c:v>
                </c:pt>
                <c:pt idx="3">
                  <c:v>84.396899224806205</c:v>
                </c:pt>
              </c:numCache>
            </c:numRef>
          </c:val>
        </c:ser>
        <c:ser>
          <c:idx val="2"/>
          <c:order val="2"/>
          <c:tx>
            <c:strRef>
              <c:f>'удобр+ нормы и сроки сева'!$J$42</c:f>
              <c:strCache>
                <c:ptCount val="1"/>
                <c:pt idx="0">
                  <c:v>6 млн</c:v>
                </c:pt>
              </c:strCache>
            </c:strRef>
          </c:tx>
          <c:marker>
            <c:symbol val="none"/>
          </c:marker>
          <c:cat>
            <c:numRef>
              <c:f>'удобр+ нормы и сроки сева'!$S$39:$V$39</c:f>
              <c:numCache>
                <c:formatCode>dd/mmm</c:formatCode>
                <c:ptCount val="4"/>
                <c:pt idx="0">
                  <c:v>42621</c:v>
                </c:pt>
                <c:pt idx="1">
                  <c:v>42623</c:v>
                </c:pt>
                <c:pt idx="2">
                  <c:v>42628</c:v>
                </c:pt>
                <c:pt idx="3">
                  <c:v>42633</c:v>
                </c:pt>
              </c:numCache>
            </c:numRef>
          </c:cat>
          <c:val>
            <c:numRef>
              <c:f>'удобр+ нормы и сроки сева'!$S$42:$V$42</c:f>
              <c:numCache>
                <c:formatCode>#,##0.0</c:formatCode>
                <c:ptCount val="4"/>
                <c:pt idx="0">
                  <c:v>83.93302325581395</c:v>
                </c:pt>
                <c:pt idx="1">
                  <c:v>83.307906976744192</c:v>
                </c:pt>
                <c:pt idx="2">
                  <c:v>84.02883720930231</c:v>
                </c:pt>
                <c:pt idx="3">
                  <c:v>88.247441860465116</c:v>
                </c:pt>
              </c:numCache>
            </c:numRef>
          </c:val>
        </c:ser>
        <c:marker val="1"/>
        <c:axId val="122825344"/>
        <c:axId val="122835328"/>
      </c:lineChart>
      <c:dateAx>
        <c:axId val="122825344"/>
        <c:scaling>
          <c:orientation val="minMax"/>
        </c:scaling>
        <c:axPos val="b"/>
        <c:numFmt formatCode="dd/mmm" sourceLinked="1"/>
        <c:tickLblPos val="nextTo"/>
        <c:crossAx val="122835328"/>
        <c:crosses val="autoZero"/>
        <c:auto val="1"/>
        <c:lblOffset val="100"/>
        <c:majorUnit val="5"/>
        <c:majorTimeUnit val="days"/>
      </c:dateAx>
      <c:valAx>
        <c:axId val="122835328"/>
        <c:scaling>
          <c:orientation val="minMax"/>
        </c:scaling>
        <c:axPos val="l"/>
        <c:majorGridlines/>
        <c:numFmt formatCode="#,##0.0" sourceLinked="1"/>
        <c:tickLblPos val="nextTo"/>
        <c:crossAx val="122825344"/>
        <c:crosses val="autoZero"/>
        <c:crossBetween val="between"/>
        <c:majorUnit val="5"/>
      </c:valAx>
    </c:plotArea>
    <c:legend>
      <c:legendPos val="r"/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Влияние</a:t>
            </a:r>
            <a:r>
              <a:rPr lang="ru-RU" baseline="0"/>
              <a:t> норм и сроков сева на белок, %,</a:t>
            </a:r>
          </a:p>
          <a:p>
            <a:pPr>
              <a:defRPr/>
            </a:pPr>
            <a:r>
              <a:rPr lang="ru-RU" baseline="0"/>
              <a:t>Губернатор Дона</a:t>
            </a:r>
            <a:endParaRPr lang="ru-RU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'удобр+ нормы и сроки сева'!$J$40</c:f>
              <c:strCache>
                <c:ptCount val="1"/>
                <c:pt idx="0">
                  <c:v>4 млн</c:v>
                </c:pt>
              </c:strCache>
            </c:strRef>
          </c:tx>
          <c:marker>
            <c:symbol val="none"/>
          </c:marker>
          <c:cat>
            <c:numRef>
              <c:f>'удобр+ нормы и сроки сева'!$W$39:$Z$39</c:f>
              <c:numCache>
                <c:formatCode>dd/mmm</c:formatCode>
                <c:ptCount val="4"/>
                <c:pt idx="0">
                  <c:v>42621</c:v>
                </c:pt>
                <c:pt idx="1">
                  <c:v>42623</c:v>
                </c:pt>
                <c:pt idx="2">
                  <c:v>42628</c:v>
                </c:pt>
                <c:pt idx="3">
                  <c:v>42633</c:v>
                </c:pt>
              </c:numCache>
            </c:numRef>
          </c:cat>
          <c:val>
            <c:numRef>
              <c:f>'удобр+ нормы и сроки сева'!$W$40:$Z$40</c:f>
              <c:numCache>
                <c:formatCode>General</c:formatCode>
                <c:ptCount val="4"/>
                <c:pt idx="0">
                  <c:v>11.2</c:v>
                </c:pt>
                <c:pt idx="1">
                  <c:v>12.6</c:v>
                </c:pt>
                <c:pt idx="2">
                  <c:v>11.3</c:v>
                </c:pt>
                <c:pt idx="3">
                  <c:v>13</c:v>
                </c:pt>
              </c:numCache>
            </c:numRef>
          </c:val>
        </c:ser>
        <c:ser>
          <c:idx val="1"/>
          <c:order val="1"/>
          <c:tx>
            <c:strRef>
              <c:f>'удобр+ нормы и сроки сева'!$J$41</c:f>
              <c:strCache>
                <c:ptCount val="1"/>
                <c:pt idx="0">
                  <c:v>5 млн</c:v>
                </c:pt>
              </c:strCache>
            </c:strRef>
          </c:tx>
          <c:marker>
            <c:symbol val="none"/>
          </c:marker>
          <c:cat>
            <c:numRef>
              <c:f>'удобр+ нормы и сроки сева'!$W$39:$Z$39</c:f>
              <c:numCache>
                <c:formatCode>dd/mmm</c:formatCode>
                <c:ptCount val="4"/>
                <c:pt idx="0">
                  <c:v>42621</c:v>
                </c:pt>
                <c:pt idx="1">
                  <c:v>42623</c:v>
                </c:pt>
                <c:pt idx="2">
                  <c:v>42628</c:v>
                </c:pt>
                <c:pt idx="3">
                  <c:v>42633</c:v>
                </c:pt>
              </c:numCache>
            </c:numRef>
          </c:cat>
          <c:val>
            <c:numRef>
              <c:f>'удобр+ нормы и сроки сева'!$W$41:$Z$41</c:f>
              <c:numCache>
                <c:formatCode>General</c:formatCode>
                <c:ptCount val="4"/>
                <c:pt idx="0">
                  <c:v>12</c:v>
                </c:pt>
                <c:pt idx="1">
                  <c:v>10.9</c:v>
                </c:pt>
                <c:pt idx="2">
                  <c:v>13.4</c:v>
                </c:pt>
                <c:pt idx="3">
                  <c:v>11.8</c:v>
                </c:pt>
              </c:numCache>
            </c:numRef>
          </c:val>
        </c:ser>
        <c:ser>
          <c:idx val="2"/>
          <c:order val="2"/>
          <c:tx>
            <c:strRef>
              <c:f>'удобр+ нормы и сроки сева'!$J$42</c:f>
              <c:strCache>
                <c:ptCount val="1"/>
                <c:pt idx="0">
                  <c:v>6 млн</c:v>
                </c:pt>
              </c:strCache>
            </c:strRef>
          </c:tx>
          <c:marker>
            <c:symbol val="none"/>
          </c:marker>
          <c:cat>
            <c:numRef>
              <c:f>'удобр+ нормы и сроки сева'!$W$39:$Z$39</c:f>
              <c:numCache>
                <c:formatCode>dd/mmm</c:formatCode>
                <c:ptCount val="4"/>
                <c:pt idx="0">
                  <c:v>42621</c:v>
                </c:pt>
                <c:pt idx="1">
                  <c:v>42623</c:v>
                </c:pt>
                <c:pt idx="2">
                  <c:v>42628</c:v>
                </c:pt>
                <c:pt idx="3">
                  <c:v>42633</c:v>
                </c:pt>
              </c:numCache>
            </c:numRef>
          </c:cat>
          <c:val>
            <c:numRef>
              <c:f>'удобр+ нормы и сроки сева'!$W$42:$Z$42</c:f>
              <c:numCache>
                <c:formatCode>General</c:formatCode>
                <c:ptCount val="4"/>
                <c:pt idx="0">
                  <c:v>10.8</c:v>
                </c:pt>
                <c:pt idx="1">
                  <c:v>12.3</c:v>
                </c:pt>
                <c:pt idx="2">
                  <c:v>12.3</c:v>
                </c:pt>
                <c:pt idx="3">
                  <c:v>13.4</c:v>
                </c:pt>
              </c:numCache>
            </c:numRef>
          </c:val>
        </c:ser>
        <c:marker val="1"/>
        <c:axId val="153703936"/>
        <c:axId val="153705472"/>
      </c:lineChart>
      <c:dateAx>
        <c:axId val="153703936"/>
        <c:scaling>
          <c:orientation val="minMax"/>
        </c:scaling>
        <c:axPos val="b"/>
        <c:numFmt formatCode="dd/mmm" sourceLinked="1"/>
        <c:tickLblPos val="nextTo"/>
        <c:crossAx val="153705472"/>
        <c:crosses val="autoZero"/>
        <c:auto val="1"/>
        <c:lblOffset val="100"/>
      </c:dateAx>
      <c:valAx>
        <c:axId val="153705472"/>
        <c:scaling>
          <c:orientation val="minMax"/>
          <c:min val="10"/>
        </c:scaling>
        <c:axPos val="l"/>
        <c:majorGridlines/>
        <c:numFmt formatCode="General" sourceLinked="1"/>
        <c:tickLblPos val="nextTo"/>
        <c:crossAx val="15370393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Влияние</a:t>
            </a:r>
            <a:r>
              <a:rPr lang="ru-RU" baseline="0"/>
              <a:t> норм и сроков сева на урожайность, ц/га</a:t>
            </a:r>
          </a:p>
          <a:p>
            <a:pPr>
              <a:defRPr/>
            </a:pPr>
            <a:r>
              <a:rPr lang="ru-RU" baseline="0"/>
              <a:t>Московская 40</a:t>
            </a:r>
            <a:endParaRPr lang="ru-RU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'удобр+ нормы и сроки сева'!$J$46</c:f>
              <c:strCache>
                <c:ptCount val="1"/>
                <c:pt idx="0">
                  <c:v>4 млн</c:v>
                </c:pt>
              </c:strCache>
            </c:strRef>
          </c:tx>
          <c:marker>
            <c:symbol val="none"/>
          </c:marker>
          <c:cat>
            <c:numRef>
              <c:f>'удобр+ нормы и сроки сева'!$S$45:$V$45</c:f>
              <c:numCache>
                <c:formatCode>dd/mmm</c:formatCode>
                <c:ptCount val="4"/>
                <c:pt idx="0">
                  <c:v>42621</c:v>
                </c:pt>
                <c:pt idx="1">
                  <c:v>42623</c:v>
                </c:pt>
                <c:pt idx="2">
                  <c:v>42628</c:v>
                </c:pt>
                <c:pt idx="3">
                  <c:v>42633</c:v>
                </c:pt>
              </c:numCache>
            </c:numRef>
          </c:cat>
          <c:val>
            <c:numRef>
              <c:f>'удобр+ нормы и сроки сева'!$S$46:$V$46</c:f>
              <c:numCache>
                <c:formatCode>#,##0.0</c:formatCode>
                <c:ptCount val="4"/>
                <c:pt idx="0">
                  <c:v>73.882790697674437</c:v>
                </c:pt>
                <c:pt idx="1">
                  <c:v>71.54651162790698</c:v>
                </c:pt>
                <c:pt idx="2">
                  <c:v>69.75209302325581</c:v>
                </c:pt>
                <c:pt idx="3">
                  <c:v>72.09162790697674</c:v>
                </c:pt>
              </c:numCache>
            </c:numRef>
          </c:val>
        </c:ser>
        <c:ser>
          <c:idx val="1"/>
          <c:order val="1"/>
          <c:tx>
            <c:strRef>
              <c:f>'удобр+ нормы и сроки сева'!$J$47</c:f>
              <c:strCache>
                <c:ptCount val="1"/>
                <c:pt idx="0">
                  <c:v>5 млн</c:v>
                </c:pt>
              </c:strCache>
            </c:strRef>
          </c:tx>
          <c:marker>
            <c:symbol val="none"/>
          </c:marker>
          <c:cat>
            <c:numRef>
              <c:f>'удобр+ нормы и сроки сева'!$S$45:$V$45</c:f>
              <c:numCache>
                <c:formatCode>dd/mmm</c:formatCode>
                <c:ptCount val="4"/>
                <c:pt idx="0">
                  <c:v>42621</c:v>
                </c:pt>
                <c:pt idx="1">
                  <c:v>42623</c:v>
                </c:pt>
                <c:pt idx="2">
                  <c:v>42628</c:v>
                </c:pt>
                <c:pt idx="3">
                  <c:v>42633</c:v>
                </c:pt>
              </c:numCache>
            </c:numRef>
          </c:cat>
          <c:val>
            <c:numRef>
              <c:f>'удобр+ нормы и сроки сева'!$S$47:$V$47</c:f>
              <c:numCache>
                <c:formatCode>#,##0.0</c:formatCode>
                <c:ptCount val="4"/>
                <c:pt idx="0">
                  <c:v>74.577209302325585</c:v>
                </c:pt>
                <c:pt idx="1">
                  <c:v>68.228837209302341</c:v>
                </c:pt>
                <c:pt idx="2">
                  <c:v>69.623565891472865</c:v>
                </c:pt>
                <c:pt idx="3">
                  <c:v>74.935813953488363</c:v>
                </c:pt>
              </c:numCache>
            </c:numRef>
          </c:val>
        </c:ser>
        <c:ser>
          <c:idx val="2"/>
          <c:order val="2"/>
          <c:tx>
            <c:strRef>
              <c:f>'удобр+ нормы и сроки сева'!$J$48</c:f>
              <c:strCache>
                <c:ptCount val="1"/>
                <c:pt idx="0">
                  <c:v>6 млн</c:v>
                </c:pt>
              </c:strCache>
            </c:strRef>
          </c:tx>
          <c:marker>
            <c:symbol val="none"/>
          </c:marker>
          <c:cat>
            <c:numRef>
              <c:f>'удобр+ нормы и сроки сева'!$S$45:$V$45</c:f>
              <c:numCache>
                <c:formatCode>dd/mmm</c:formatCode>
                <c:ptCount val="4"/>
                <c:pt idx="0">
                  <c:v>42621</c:v>
                </c:pt>
                <c:pt idx="1">
                  <c:v>42623</c:v>
                </c:pt>
                <c:pt idx="2">
                  <c:v>42628</c:v>
                </c:pt>
                <c:pt idx="3">
                  <c:v>42633</c:v>
                </c:pt>
              </c:numCache>
            </c:numRef>
          </c:cat>
          <c:val>
            <c:numRef>
              <c:f>'удобр+ нормы и сроки сева'!$S$48:$V$48</c:f>
              <c:numCache>
                <c:formatCode>#,##0.0</c:formatCode>
                <c:ptCount val="4"/>
                <c:pt idx="0">
                  <c:v>72.281860465116281</c:v>
                </c:pt>
                <c:pt idx="1">
                  <c:v>66.700775193798449</c:v>
                </c:pt>
                <c:pt idx="2">
                  <c:v>72.255658914728684</c:v>
                </c:pt>
                <c:pt idx="3">
                  <c:v>72.36418604651162</c:v>
                </c:pt>
              </c:numCache>
            </c:numRef>
          </c:val>
        </c:ser>
        <c:marker val="1"/>
        <c:axId val="122151296"/>
        <c:axId val="122152832"/>
      </c:lineChart>
      <c:dateAx>
        <c:axId val="122151296"/>
        <c:scaling>
          <c:orientation val="minMax"/>
        </c:scaling>
        <c:axPos val="b"/>
        <c:numFmt formatCode="dd/mmm" sourceLinked="1"/>
        <c:tickLblPos val="nextTo"/>
        <c:crossAx val="122152832"/>
        <c:crosses val="autoZero"/>
        <c:auto val="1"/>
        <c:lblOffset val="100"/>
        <c:majorUnit val="5"/>
        <c:majorTimeUnit val="days"/>
      </c:dateAx>
      <c:valAx>
        <c:axId val="122152832"/>
        <c:scaling>
          <c:orientation val="minMax"/>
        </c:scaling>
        <c:axPos val="l"/>
        <c:majorGridlines/>
        <c:numFmt formatCode="#,##0.0" sourceLinked="1"/>
        <c:tickLblPos val="nextTo"/>
        <c:crossAx val="12215129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Влияние</a:t>
            </a:r>
            <a:r>
              <a:rPr lang="ru-RU" baseline="0"/>
              <a:t> норм и сроков сева на белок, %</a:t>
            </a:r>
          </a:p>
          <a:p>
            <a:pPr>
              <a:defRPr/>
            </a:pPr>
            <a:r>
              <a:rPr lang="ru-RU" baseline="0"/>
              <a:t>Московская 40</a:t>
            </a:r>
            <a:endParaRPr lang="ru-RU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'удобр+ нормы и сроки сева'!$J$46</c:f>
              <c:strCache>
                <c:ptCount val="1"/>
                <c:pt idx="0">
                  <c:v>4 млн</c:v>
                </c:pt>
              </c:strCache>
            </c:strRef>
          </c:tx>
          <c:marker>
            <c:symbol val="none"/>
          </c:marker>
          <c:cat>
            <c:numRef>
              <c:f>'удобр+ нормы и сроки сева'!$W$45:$Z$45</c:f>
              <c:numCache>
                <c:formatCode>dd/mmm</c:formatCode>
                <c:ptCount val="4"/>
                <c:pt idx="0">
                  <c:v>42621</c:v>
                </c:pt>
                <c:pt idx="1">
                  <c:v>42623</c:v>
                </c:pt>
                <c:pt idx="2">
                  <c:v>42628</c:v>
                </c:pt>
                <c:pt idx="3">
                  <c:v>42633</c:v>
                </c:pt>
              </c:numCache>
            </c:numRef>
          </c:cat>
          <c:val>
            <c:numRef>
              <c:f>'удобр+ нормы и сроки сева'!$W$46:$Z$46</c:f>
              <c:numCache>
                <c:formatCode>General</c:formatCode>
                <c:ptCount val="4"/>
                <c:pt idx="0">
                  <c:v>13.9</c:v>
                </c:pt>
                <c:pt idx="1">
                  <c:v>15.6</c:v>
                </c:pt>
                <c:pt idx="2">
                  <c:v>13.8</c:v>
                </c:pt>
                <c:pt idx="3">
                  <c:v>16.5</c:v>
                </c:pt>
              </c:numCache>
            </c:numRef>
          </c:val>
        </c:ser>
        <c:ser>
          <c:idx val="1"/>
          <c:order val="1"/>
          <c:tx>
            <c:strRef>
              <c:f>'удобр+ нормы и сроки сева'!$J$47</c:f>
              <c:strCache>
                <c:ptCount val="1"/>
                <c:pt idx="0">
                  <c:v>5 млн</c:v>
                </c:pt>
              </c:strCache>
            </c:strRef>
          </c:tx>
          <c:marker>
            <c:symbol val="none"/>
          </c:marker>
          <c:cat>
            <c:numRef>
              <c:f>'удобр+ нормы и сроки сева'!$W$45:$Z$45</c:f>
              <c:numCache>
                <c:formatCode>dd/mmm</c:formatCode>
                <c:ptCount val="4"/>
                <c:pt idx="0">
                  <c:v>42621</c:v>
                </c:pt>
                <c:pt idx="1">
                  <c:v>42623</c:v>
                </c:pt>
                <c:pt idx="2">
                  <c:v>42628</c:v>
                </c:pt>
                <c:pt idx="3">
                  <c:v>42633</c:v>
                </c:pt>
              </c:numCache>
            </c:numRef>
          </c:cat>
          <c:val>
            <c:numRef>
              <c:f>'удобр+ нормы и сроки сева'!$W$47:$Z$47</c:f>
              <c:numCache>
                <c:formatCode>General</c:formatCode>
                <c:ptCount val="4"/>
                <c:pt idx="0">
                  <c:v>13.3</c:v>
                </c:pt>
                <c:pt idx="1">
                  <c:v>15.1</c:v>
                </c:pt>
                <c:pt idx="2">
                  <c:v>14.1</c:v>
                </c:pt>
                <c:pt idx="3">
                  <c:v>13.9</c:v>
                </c:pt>
              </c:numCache>
            </c:numRef>
          </c:val>
        </c:ser>
        <c:ser>
          <c:idx val="2"/>
          <c:order val="2"/>
          <c:tx>
            <c:strRef>
              <c:f>'удобр+ нормы и сроки сева'!$J$48</c:f>
              <c:strCache>
                <c:ptCount val="1"/>
                <c:pt idx="0">
                  <c:v>6 млн</c:v>
                </c:pt>
              </c:strCache>
            </c:strRef>
          </c:tx>
          <c:marker>
            <c:symbol val="none"/>
          </c:marker>
          <c:cat>
            <c:numRef>
              <c:f>'удобр+ нормы и сроки сева'!$W$45:$Z$45</c:f>
              <c:numCache>
                <c:formatCode>dd/mmm</c:formatCode>
                <c:ptCount val="4"/>
                <c:pt idx="0">
                  <c:v>42621</c:v>
                </c:pt>
                <c:pt idx="1">
                  <c:v>42623</c:v>
                </c:pt>
                <c:pt idx="2">
                  <c:v>42628</c:v>
                </c:pt>
                <c:pt idx="3">
                  <c:v>42633</c:v>
                </c:pt>
              </c:numCache>
            </c:numRef>
          </c:cat>
          <c:val>
            <c:numRef>
              <c:f>'удобр+ нормы и сроки сева'!$W$48:$Z$48</c:f>
              <c:numCache>
                <c:formatCode>General</c:formatCode>
                <c:ptCount val="4"/>
                <c:pt idx="0">
                  <c:v>14.5</c:v>
                </c:pt>
                <c:pt idx="1">
                  <c:v>13.4</c:v>
                </c:pt>
                <c:pt idx="2">
                  <c:v>14.2</c:v>
                </c:pt>
                <c:pt idx="3">
                  <c:v>17.3</c:v>
                </c:pt>
              </c:numCache>
            </c:numRef>
          </c:val>
        </c:ser>
        <c:marker val="1"/>
        <c:axId val="153758720"/>
        <c:axId val="153768704"/>
      </c:lineChart>
      <c:dateAx>
        <c:axId val="153758720"/>
        <c:scaling>
          <c:orientation val="minMax"/>
        </c:scaling>
        <c:axPos val="b"/>
        <c:numFmt formatCode="dd/mmm" sourceLinked="1"/>
        <c:tickLblPos val="nextTo"/>
        <c:crossAx val="153768704"/>
        <c:crosses val="autoZero"/>
        <c:auto val="1"/>
        <c:lblOffset val="100"/>
      </c:dateAx>
      <c:valAx>
        <c:axId val="153768704"/>
        <c:scaling>
          <c:orientation val="minMax"/>
          <c:min val="10"/>
        </c:scaling>
        <c:axPos val="l"/>
        <c:majorGridlines/>
        <c:numFmt formatCode="General" sourceLinked="1"/>
        <c:tickLblPos val="nextTo"/>
        <c:crossAx val="15375872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Влияние</a:t>
            </a:r>
            <a:r>
              <a:rPr lang="ru-RU" baseline="0"/>
              <a:t> норм и сроков сева на урожайность, ц/га</a:t>
            </a:r>
          </a:p>
          <a:p>
            <a:pPr>
              <a:defRPr/>
            </a:pPr>
            <a:r>
              <a:rPr lang="ru-RU" baseline="0"/>
              <a:t>Скипетр</a:t>
            </a:r>
            <a:endParaRPr lang="ru-RU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'удобр+ нормы и сроки сева'!$J$52</c:f>
              <c:strCache>
                <c:ptCount val="1"/>
                <c:pt idx="0">
                  <c:v>4 млн</c:v>
                </c:pt>
              </c:strCache>
            </c:strRef>
          </c:tx>
          <c:marker>
            <c:symbol val="none"/>
          </c:marker>
          <c:cat>
            <c:numRef>
              <c:f>'удобр+ нормы и сроки сева'!$S$51:$V$51</c:f>
              <c:numCache>
                <c:formatCode>dd/mmm</c:formatCode>
                <c:ptCount val="4"/>
                <c:pt idx="0">
                  <c:v>42621</c:v>
                </c:pt>
                <c:pt idx="1">
                  <c:v>42623</c:v>
                </c:pt>
                <c:pt idx="2">
                  <c:v>42628</c:v>
                </c:pt>
                <c:pt idx="3">
                  <c:v>42633</c:v>
                </c:pt>
              </c:numCache>
            </c:numRef>
          </c:cat>
          <c:val>
            <c:numRef>
              <c:f>'удобр+ нормы и сроки сева'!$S$52:$V$52</c:f>
              <c:numCache>
                <c:formatCode>#,##0.0</c:formatCode>
                <c:ptCount val="4"/>
                <c:pt idx="0">
                  <c:v>84.264186046511625</c:v>
                </c:pt>
                <c:pt idx="1">
                  <c:v>79.267751937984499</c:v>
                </c:pt>
                <c:pt idx="2">
                  <c:v>75.486666666666679</c:v>
                </c:pt>
                <c:pt idx="3">
                  <c:v>69.433953488372083</c:v>
                </c:pt>
              </c:numCache>
            </c:numRef>
          </c:val>
        </c:ser>
        <c:ser>
          <c:idx val="1"/>
          <c:order val="1"/>
          <c:tx>
            <c:strRef>
              <c:f>'удобр+ нормы и сроки сева'!$J$53</c:f>
              <c:strCache>
                <c:ptCount val="1"/>
                <c:pt idx="0">
                  <c:v>5 млн</c:v>
                </c:pt>
              </c:strCache>
            </c:strRef>
          </c:tx>
          <c:marker>
            <c:symbol val="none"/>
          </c:marker>
          <c:cat>
            <c:numRef>
              <c:f>'удобр+ нормы и сроки сева'!$S$51:$V$51</c:f>
              <c:numCache>
                <c:formatCode>dd/mmm</c:formatCode>
                <c:ptCount val="4"/>
                <c:pt idx="0">
                  <c:v>42621</c:v>
                </c:pt>
                <c:pt idx="1">
                  <c:v>42623</c:v>
                </c:pt>
                <c:pt idx="2">
                  <c:v>42628</c:v>
                </c:pt>
                <c:pt idx="3">
                  <c:v>42633</c:v>
                </c:pt>
              </c:numCache>
            </c:numRef>
          </c:cat>
          <c:val>
            <c:numRef>
              <c:f>'удобр+ нормы и сроки сева'!$S$53:$V$53</c:f>
              <c:numCache>
                <c:formatCode>#,##0.0</c:formatCode>
                <c:ptCount val="4"/>
                <c:pt idx="0">
                  <c:v>81.06511627906977</c:v>
                </c:pt>
                <c:pt idx="1">
                  <c:v>84.399224806201545</c:v>
                </c:pt>
                <c:pt idx="2">
                  <c:v>76.837054263565889</c:v>
                </c:pt>
                <c:pt idx="3">
                  <c:v>74.426046511627916</c:v>
                </c:pt>
              </c:numCache>
            </c:numRef>
          </c:val>
        </c:ser>
        <c:ser>
          <c:idx val="2"/>
          <c:order val="2"/>
          <c:tx>
            <c:strRef>
              <c:f>'удобр+ нормы и сроки сева'!$J$54</c:f>
              <c:strCache>
                <c:ptCount val="1"/>
                <c:pt idx="0">
                  <c:v>6 млн</c:v>
                </c:pt>
              </c:strCache>
            </c:strRef>
          </c:tx>
          <c:marker>
            <c:symbol val="none"/>
          </c:marker>
          <c:cat>
            <c:numRef>
              <c:f>'удобр+ нормы и сроки сева'!$S$51:$V$51</c:f>
              <c:numCache>
                <c:formatCode>dd/mmm</c:formatCode>
                <c:ptCount val="4"/>
                <c:pt idx="0">
                  <c:v>42621</c:v>
                </c:pt>
                <c:pt idx="1">
                  <c:v>42623</c:v>
                </c:pt>
                <c:pt idx="2">
                  <c:v>42628</c:v>
                </c:pt>
                <c:pt idx="3">
                  <c:v>42633</c:v>
                </c:pt>
              </c:numCache>
            </c:numRef>
          </c:cat>
          <c:val>
            <c:numRef>
              <c:f>'удобр+ нормы и сроки сева'!$S$54:$V$54</c:f>
              <c:numCache>
                <c:formatCode>#,##0.0</c:formatCode>
                <c:ptCount val="4"/>
                <c:pt idx="0">
                  <c:v>83.183875968992254</c:v>
                </c:pt>
                <c:pt idx="1">
                  <c:v>79.088372093023253</c:v>
                </c:pt>
                <c:pt idx="2">
                  <c:v>77.242170542635662</c:v>
                </c:pt>
                <c:pt idx="3">
                  <c:v>83.588992248062027</c:v>
                </c:pt>
              </c:numCache>
            </c:numRef>
          </c:val>
        </c:ser>
        <c:marker val="1"/>
        <c:axId val="153814912"/>
        <c:axId val="153816448"/>
      </c:lineChart>
      <c:dateAx>
        <c:axId val="153814912"/>
        <c:scaling>
          <c:orientation val="minMax"/>
        </c:scaling>
        <c:axPos val="b"/>
        <c:numFmt formatCode="dd/mmm" sourceLinked="1"/>
        <c:tickLblPos val="nextTo"/>
        <c:crossAx val="153816448"/>
        <c:crosses val="autoZero"/>
        <c:auto val="1"/>
        <c:lblOffset val="100"/>
        <c:majorUnit val="5"/>
        <c:majorTimeUnit val="days"/>
      </c:dateAx>
      <c:valAx>
        <c:axId val="153816448"/>
        <c:scaling>
          <c:orientation val="minMax"/>
          <c:min val="60"/>
        </c:scaling>
        <c:axPos val="l"/>
        <c:majorGridlines/>
        <c:numFmt formatCode="#,##0.0" sourceLinked="1"/>
        <c:tickLblPos val="nextTo"/>
        <c:crossAx val="1538149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600075</xdr:colOff>
      <xdr:row>13</xdr:row>
      <xdr:rowOff>76200</xdr:rowOff>
    </xdr:from>
    <xdr:to>
      <xdr:col>18</xdr:col>
      <xdr:colOff>133350</xdr:colOff>
      <xdr:row>30</xdr:row>
      <xdr:rowOff>114298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123825</xdr:colOff>
      <xdr:row>13</xdr:row>
      <xdr:rowOff>85724</xdr:rowOff>
    </xdr:from>
    <xdr:to>
      <xdr:col>29</xdr:col>
      <xdr:colOff>209550</xdr:colOff>
      <xdr:row>29</xdr:row>
      <xdr:rowOff>104774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19050</xdr:colOff>
      <xdr:row>54</xdr:row>
      <xdr:rowOff>219075</xdr:rowOff>
    </xdr:from>
    <xdr:to>
      <xdr:col>16</xdr:col>
      <xdr:colOff>228600</xdr:colOff>
      <xdr:row>66</xdr:row>
      <xdr:rowOff>104775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28575</xdr:colOff>
      <xdr:row>66</xdr:row>
      <xdr:rowOff>171450</xdr:rowOff>
    </xdr:from>
    <xdr:to>
      <xdr:col>16</xdr:col>
      <xdr:colOff>238125</xdr:colOff>
      <xdr:row>78</xdr:row>
      <xdr:rowOff>57150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295275</xdr:colOff>
      <xdr:row>55</xdr:row>
      <xdr:rowOff>9525</xdr:rowOff>
    </xdr:from>
    <xdr:to>
      <xdr:col>25</xdr:col>
      <xdr:colOff>85725</xdr:colOff>
      <xdr:row>66</xdr:row>
      <xdr:rowOff>133350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295275</xdr:colOff>
      <xdr:row>66</xdr:row>
      <xdr:rowOff>180975</xdr:rowOff>
    </xdr:from>
    <xdr:to>
      <xdr:col>25</xdr:col>
      <xdr:colOff>85725</xdr:colOff>
      <xdr:row>78</xdr:row>
      <xdr:rowOff>66675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28575</xdr:colOff>
      <xdr:row>78</xdr:row>
      <xdr:rowOff>190500</xdr:rowOff>
    </xdr:from>
    <xdr:to>
      <xdr:col>16</xdr:col>
      <xdr:colOff>238125</xdr:colOff>
      <xdr:row>90</xdr:row>
      <xdr:rowOff>76200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47625</xdr:colOff>
      <xdr:row>90</xdr:row>
      <xdr:rowOff>95250</xdr:rowOff>
    </xdr:from>
    <xdr:to>
      <xdr:col>16</xdr:col>
      <xdr:colOff>257175</xdr:colOff>
      <xdr:row>101</xdr:row>
      <xdr:rowOff>219075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295275</xdr:colOff>
      <xdr:row>78</xdr:row>
      <xdr:rowOff>190500</xdr:rowOff>
    </xdr:from>
    <xdr:to>
      <xdr:col>25</xdr:col>
      <xdr:colOff>85725</xdr:colOff>
      <xdr:row>90</xdr:row>
      <xdr:rowOff>76200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285750</xdr:colOff>
      <xdr:row>90</xdr:row>
      <xdr:rowOff>95250</xdr:rowOff>
    </xdr:from>
    <xdr:to>
      <xdr:col>25</xdr:col>
      <xdr:colOff>76200</xdr:colOff>
      <xdr:row>101</xdr:row>
      <xdr:rowOff>219075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29</xdr:col>
      <xdr:colOff>552450</xdr:colOff>
      <xdr:row>13</xdr:row>
      <xdr:rowOff>66675</xdr:rowOff>
    </xdr:from>
    <xdr:to>
      <xdr:col>38</xdr:col>
      <xdr:colOff>419100</xdr:colOff>
      <xdr:row>31</xdr:row>
      <xdr:rowOff>142875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72;&#1088;&#1100;&#1103;/Documents/2016/&#1086;&#1087;&#1099;&#1090;&#1099;%202016/&#1088;&#1077;&#1079;&#1091;&#1083;&#1100;&#1090;&#1072;&#1090;&#1099;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изв пш (2)"/>
      <sheetName val="линейка"/>
      <sheetName val="произв пш"/>
      <sheetName val="чп"/>
      <sheetName val="удобрения"/>
      <sheetName val="гсу"/>
      <sheetName val="удобр"/>
      <sheetName val="1"/>
    </sheetNames>
    <sheetDataSet>
      <sheetData sheetId="0"/>
      <sheetData sheetId="1"/>
      <sheetData sheetId="2"/>
      <sheetData sheetId="3"/>
      <sheetData sheetId="4">
        <row r="2">
          <cell r="Q2">
            <v>73.86666666666666</v>
          </cell>
          <cell r="R2">
            <v>75.2</v>
          </cell>
          <cell r="S2">
            <v>76.666666666666671</v>
          </cell>
          <cell r="T2">
            <v>75.86666666666666</v>
          </cell>
          <cell r="U2">
            <v>81.333333333333329</v>
          </cell>
        </row>
        <row r="3">
          <cell r="Q3">
            <v>92.933333333333337</v>
          </cell>
          <cell r="R3">
            <v>91.866666666666674</v>
          </cell>
          <cell r="S3">
            <v>90.533333333333346</v>
          </cell>
          <cell r="T3">
            <v>88.666666666666671</v>
          </cell>
          <cell r="U3">
            <v>92.666666666666671</v>
          </cell>
        </row>
        <row r="4">
          <cell r="Q4">
            <v>87.866666666666674</v>
          </cell>
          <cell r="R4">
            <v>84.8</v>
          </cell>
          <cell r="S4">
            <v>84.266666666666666</v>
          </cell>
          <cell r="T4">
            <v>78</v>
          </cell>
          <cell r="U4">
            <v>90.399999999999991</v>
          </cell>
        </row>
        <row r="5">
          <cell r="Q5">
            <v>86.533333333333346</v>
          </cell>
          <cell r="R5">
            <v>86.666666666666671</v>
          </cell>
          <cell r="S5">
            <v>82.8</v>
          </cell>
          <cell r="T5">
            <v>82.266666666666666</v>
          </cell>
          <cell r="U5">
            <v>88.933333333333337</v>
          </cell>
        </row>
        <row r="6">
          <cell r="Q6">
            <v>73.466666666666669</v>
          </cell>
          <cell r="R6">
            <v>71.866666666666674</v>
          </cell>
          <cell r="S6">
            <v>70.666666666666671</v>
          </cell>
          <cell r="T6">
            <v>70</v>
          </cell>
          <cell r="U6">
            <v>75.86666666666666</v>
          </cell>
        </row>
        <row r="7">
          <cell r="Q7">
            <v>81.466666666666654</v>
          </cell>
          <cell r="R7">
            <v>86.533333333333346</v>
          </cell>
          <cell r="S7">
            <v>82.933333333333323</v>
          </cell>
          <cell r="T7">
            <v>82.666666666666671</v>
          </cell>
          <cell r="U7">
            <v>85.066666666666663</v>
          </cell>
        </row>
        <row r="8">
          <cell r="Q8">
            <v>88.533333333333346</v>
          </cell>
          <cell r="R8">
            <v>85.600000000000009</v>
          </cell>
          <cell r="S8">
            <v>90</v>
          </cell>
          <cell r="T8">
            <v>86.266666666666652</v>
          </cell>
          <cell r="U8">
            <v>87.2</v>
          </cell>
        </row>
      </sheetData>
      <sheetData sheetId="5">
        <row r="2">
          <cell r="K2" t="str">
            <v>300 кг селитры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108"/>
  <sheetViews>
    <sheetView tabSelected="1" topLeftCell="J27" workbookViewId="0">
      <selection activeCell="T39" sqref="T39"/>
    </sheetView>
  </sheetViews>
  <sheetFormatPr defaultRowHeight="15" outlineLevelCol="1"/>
  <cols>
    <col min="1" max="1" width="30.5703125" hidden="1" customWidth="1" outlineLevel="1"/>
    <col min="2" max="2" width="17" hidden="1" customWidth="1" outlineLevel="1"/>
    <col min="3" max="4" width="17" style="1" hidden="1" customWidth="1" outlineLevel="1"/>
    <col min="5" max="5" width="11.42578125" hidden="1" customWidth="1" outlineLevel="1"/>
    <col min="6" max="6" width="12.85546875" hidden="1" customWidth="1" outlineLevel="1"/>
    <col min="7" max="7" width="12.5703125" hidden="1" customWidth="1" outlineLevel="1"/>
    <col min="8" max="9" width="9.140625" hidden="1" customWidth="1" outlineLevel="1"/>
    <col min="10" max="10" width="21.140625" bestFit="1" customWidth="1" collapsed="1"/>
    <col min="11" max="11" width="7.85546875" customWidth="1"/>
    <col min="12" max="13" width="7.28515625" customWidth="1"/>
    <col min="14" max="14" width="7.28515625" bestFit="1" customWidth="1"/>
    <col min="15" max="18" width="7.28515625" customWidth="1"/>
    <col min="19" max="19" width="7.85546875" customWidth="1"/>
    <col min="20" max="21" width="7.28515625" customWidth="1"/>
    <col min="22" max="22" width="7.28515625" bestFit="1" customWidth="1"/>
  </cols>
  <sheetData>
    <row r="1" spans="1:40" ht="15.75" thickBot="1">
      <c r="K1" s="2" t="s">
        <v>0</v>
      </c>
      <c r="P1" s="2" t="s">
        <v>1</v>
      </c>
      <c r="U1" s="2" t="s">
        <v>2</v>
      </c>
      <c r="Z1" s="2" t="s">
        <v>3</v>
      </c>
      <c r="AE1" s="2" t="s">
        <v>4</v>
      </c>
      <c r="AJ1" s="2" t="s">
        <v>5</v>
      </c>
    </row>
    <row r="2" spans="1:40" ht="60.75" customHeight="1">
      <c r="A2" s="3" t="s">
        <v>6</v>
      </c>
      <c r="B2" s="4" t="s">
        <v>7</v>
      </c>
      <c r="C2" s="5" t="s">
        <v>8</v>
      </c>
      <c r="D2" s="5" t="s">
        <v>9</v>
      </c>
      <c r="E2" s="4" t="s">
        <v>1</v>
      </c>
      <c r="F2" s="4" t="s">
        <v>2</v>
      </c>
      <c r="G2" s="6" t="s">
        <v>10</v>
      </c>
      <c r="J2" s="7"/>
      <c r="K2" s="8" t="s">
        <v>11</v>
      </c>
      <c r="L2" s="8" t="s">
        <v>12</v>
      </c>
      <c r="M2" s="8" t="s">
        <v>13</v>
      </c>
      <c r="N2" s="8" t="s">
        <v>14</v>
      </c>
      <c r="O2" s="9" t="s">
        <v>15</v>
      </c>
      <c r="P2" s="10" t="s">
        <v>11</v>
      </c>
      <c r="Q2" s="8" t="s">
        <v>12</v>
      </c>
      <c r="R2" s="8" t="s">
        <v>13</v>
      </c>
      <c r="S2" s="8" t="s">
        <v>14</v>
      </c>
      <c r="T2" s="9" t="s">
        <v>15</v>
      </c>
      <c r="U2" s="10" t="s">
        <v>11</v>
      </c>
      <c r="V2" s="8" t="s">
        <v>12</v>
      </c>
      <c r="W2" s="8" t="s">
        <v>13</v>
      </c>
      <c r="X2" s="8" t="s">
        <v>14</v>
      </c>
      <c r="Y2" s="11" t="s">
        <v>15</v>
      </c>
      <c r="Z2" s="10" t="s">
        <v>11</v>
      </c>
      <c r="AA2" s="8" t="s">
        <v>12</v>
      </c>
      <c r="AB2" s="8" t="s">
        <v>13</v>
      </c>
      <c r="AC2" s="8" t="s">
        <v>14</v>
      </c>
      <c r="AD2" s="11" t="s">
        <v>15</v>
      </c>
      <c r="AE2" s="10" t="s">
        <v>11</v>
      </c>
      <c r="AF2" s="8" t="s">
        <v>12</v>
      </c>
      <c r="AG2" s="8" t="s">
        <v>13</v>
      </c>
      <c r="AH2" s="8" t="s">
        <v>14</v>
      </c>
      <c r="AI2" s="11" t="s">
        <v>15</v>
      </c>
      <c r="AJ2" s="10" t="s">
        <v>11</v>
      </c>
      <c r="AK2" s="8" t="s">
        <v>12</v>
      </c>
      <c r="AL2" s="8" t="s">
        <v>13</v>
      </c>
      <c r="AM2" s="8" t="s">
        <v>14</v>
      </c>
      <c r="AN2" s="9" t="s">
        <v>15</v>
      </c>
    </row>
    <row r="3" spans="1:40" ht="18.75">
      <c r="A3" s="12" t="s">
        <v>16</v>
      </c>
      <c r="B3" s="12">
        <v>13.7</v>
      </c>
      <c r="C3" s="13">
        <f>[1]удобрения!Q2</f>
        <v>73.86666666666666</v>
      </c>
      <c r="D3" s="13">
        <f>C3-C3*(14-B3)/(100-14)</f>
        <v>73.608992248062009</v>
      </c>
      <c r="E3" s="12">
        <v>11.4</v>
      </c>
      <c r="F3" s="12">
        <v>17.8</v>
      </c>
      <c r="G3" s="14">
        <v>738</v>
      </c>
      <c r="J3" s="15" t="s">
        <v>16</v>
      </c>
      <c r="K3" s="16">
        <v>73.608992248062009</v>
      </c>
      <c r="L3" s="16">
        <v>74.808062015503864</v>
      </c>
      <c r="M3" s="16">
        <v>80.765891472868219</v>
      </c>
      <c r="N3" s="16">
        <v>75.025116279069778</v>
      </c>
      <c r="O3" s="17">
        <v>76.488372093023258</v>
      </c>
      <c r="P3" s="18">
        <v>11.4</v>
      </c>
      <c r="Q3" s="19">
        <v>13.9</v>
      </c>
      <c r="R3" s="19">
        <v>12.7</v>
      </c>
      <c r="S3" s="19">
        <v>14</v>
      </c>
      <c r="T3" s="20">
        <v>13.5</v>
      </c>
      <c r="U3" s="18">
        <v>17.8</v>
      </c>
      <c r="V3" s="19">
        <v>22.8</v>
      </c>
      <c r="W3" s="19">
        <v>19.899999999999999</v>
      </c>
      <c r="X3" s="19">
        <v>22.7</v>
      </c>
      <c r="Y3" s="21">
        <v>21</v>
      </c>
      <c r="Z3" s="22" t="str">
        <f t="shared" ref="Z3:AA9" si="0">IF(P3&gt;=13.5,$L$11,$L$12)</f>
        <v>4 класс</v>
      </c>
      <c r="AA3" s="14" t="str">
        <f>IF(Q3&gt;=13.5,$L$11,$L$12)</f>
        <v>3 класс</v>
      </c>
      <c r="AB3" s="14" t="str">
        <f t="shared" ref="AB3:AD9" si="1">IF(R3&gt;=13.5,$L$11,$L$12)</f>
        <v>4 класс</v>
      </c>
      <c r="AC3" s="14" t="str">
        <f t="shared" si="1"/>
        <v>3 класс</v>
      </c>
      <c r="AD3" s="23" t="str">
        <f t="shared" si="1"/>
        <v>3 класс</v>
      </c>
      <c r="AE3" s="24">
        <f>(VLOOKUP(Z3,$L$11:$N$13,3,0))*K3/10</f>
        <v>55206.744186046511</v>
      </c>
      <c r="AF3" s="25">
        <f>(VLOOKUP(AA3,$L$11:$N$13,3,0))*L3/10</f>
        <v>59846.449612403092</v>
      </c>
      <c r="AG3" s="25">
        <f t="shared" ref="AG3:AI9" si="2">(VLOOKUP(AB3,$L$11:$N$13,3,0))*M3/10</f>
        <v>60574.41860465116</v>
      </c>
      <c r="AH3" s="25">
        <f t="shared" si="2"/>
        <v>60020.093023255817</v>
      </c>
      <c r="AI3" s="26">
        <f t="shared" si="2"/>
        <v>61190.697674418603</v>
      </c>
      <c r="AJ3" s="22">
        <v>0</v>
      </c>
      <c r="AK3" s="25">
        <f>(AF3-AE3)-0.2*$K$12</f>
        <v>1839.7054263565806</v>
      </c>
      <c r="AL3" s="25">
        <f>(AG3-AE3)-0.05*$K$11</f>
        <v>4667.674418604649</v>
      </c>
      <c r="AM3" s="25">
        <f>AH3-AE3-0.1*$K$10</f>
        <v>3275.3488372093052</v>
      </c>
      <c r="AN3" s="27">
        <f>AI3-AE3-0.3*$K$10</f>
        <v>1369.9534883720917</v>
      </c>
    </row>
    <row r="4" spans="1:40" ht="18.75">
      <c r="A4" s="12" t="s">
        <v>17</v>
      </c>
      <c r="B4" s="12">
        <v>13.7</v>
      </c>
      <c r="C4" s="13">
        <f>[1]удобрения!Q3</f>
        <v>92.933333333333337</v>
      </c>
      <c r="D4" s="13">
        <f t="shared" ref="D4:D9" si="3">C4-C4*(14-B4)/(100-14)</f>
        <v>92.60914728682171</v>
      </c>
      <c r="E4" s="12">
        <v>12.7</v>
      </c>
      <c r="F4" s="12">
        <v>19.5</v>
      </c>
      <c r="G4" s="14">
        <v>717</v>
      </c>
      <c r="J4" s="15" t="s">
        <v>17</v>
      </c>
      <c r="K4" s="16">
        <v>92.60914728682171</v>
      </c>
      <c r="L4" s="16">
        <v>87.42945736434109</v>
      </c>
      <c r="M4" s="16">
        <v>92.235658914728688</v>
      </c>
      <c r="N4" s="16">
        <v>91.225736434108541</v>
      </c>
      <c r="O4" s="17">
        <v>89.796434108527151</v>
      </c>
      <c r="P4" s="18">
        <v>12.7</v>
      </c>
      <c r="Q4" s="19">
        <v>12</v>
      </c>
      <c r="R4" s="19">
        <v>12.6</v>
      </c>
      <c r="S4" s="19">
        <v>12.6</v>
      </c>
      <c r="T4" s="20">
        <v>13.6</v>
      </c>
      <c r="U4" s="18">
        <v>19.5</v>
      </c>
      <c r="V4" s="19">
        <v>18.100000000000001</v>
      </c>
      <c r="W4" s="19">
        <v>20.100000000000001</v>
      </c>
      <c r="X4" s="19">
        <v>18.8</v>
      </c>
      <c r="Y4" s="21">
        <v>21.5</v>
      </c>
      <c r="Z4" s="22" t="str">
        <f t="shared" si="0"/>
        <v>4 класс</v>
      </c>
      <c r="AA4" s="14" t="str">
        <f t="shared" si="0"/>
        <v>4 класс</v>
      </c>
      <c r="AB4" s="14" t="str">
        <f t="shared" si="1"/>
        <v>4 класс</v>
      </c>
      <c r="AC4" s="14" t="str">
        <f t="shared" si="1"/>
        <v>4 класс</v>
      </c>
      <c r="AD4" s="23" t="str">
        <f t="shared" si="1"/>
        <v>3 класс</v>
      </c>
      <c r="AE4" s="24">
        <f t="shared" ref="AE4:AF9" si="4">(VLOOKUP(Z4,$L$11:$N$13,3,0))*K4/10</f>
        <v>69456.86046511629</v>
      </c>
      <c r="AF4" s="25">
        <f t="shared" si="4"/>
        <v>65572.093023255817</v>
      </c>
      <c r="AG4" s="25">
        <f t="shared" si="2"/>
        <v>69176.744186046519</v>
      </c>
      <c r="AH4" s="25">
        <f t="shared" si="2"/>
        <v>68419.302325581404</v>
      </c>
      <c r="AI4" s="26">
        <f t="shared" si="2"/>
        <v>71837.14728682171</v>
      </c>
      <c r="AJ4" s="22">
        <v>0</v>
      </c>
      <c r="AK4" s="25">
        <f t="shared" ref="AK4:AK9" si="5">(AF4-AE4)-0.2*$K$12</f>
        <v>-6684.7674418604729</v>
      </c>
      <c r="AL4" s="25">
        <f t="shared" ref="AL4:AL9" si="6">(AG4-AE4)-0.05*$K$11</f>
        <v>-980.11627906977083</v>
      </c>
      <c r="AM4" s="25">
        <f t="shared" ref="AM4:AM9" si="7">AH4-AE4-0.1*$K$10</f>
        <v>-2575.5581395348854</v>
      </c>
      <c r="AN4" s="27">
        <f t="shared" ref="AN4:AN9" si="8">AI4-AE4-0.3*$K$10</f>
        <v>-2233.7131782945798</v>
      </c>
    </row>
    <row r="5" spans="1:40" ht="18.75">
      <c r="A5" s="12" t="s">
        <v>18</v>
      </c>
      <c r="B5" s="12">
        <v>13.9</v>
      </c>
      <c r="C5" s="13">
        <f>[1]удобрения!Q4</f>
        <v>87.866666666666674</v>
      </c>
      <c r="D5" s="13">
        <f t="shared" si="3"/>
        <v>87.764496124031012</v>
      </c>
      <c r="E5" s="12">
        <v>11.1</v>
      </c>
      <c r="F5" s="12">
        <v>16.2</v>
      </c>
      <c r="G5" s="14">
        <v>717</v>
      </c>
      <c r="J5" s="15" t="s">
        <v>18</v>
      </c>
      <c r="K5" s="16">
        <v>87.764496124031012</v>
      </c>
      <c r="L5" s="16">
        <v>76.54883720930232</v>
      </c>
      <c r="M5" s="16">
        <v>90.399999999999991</v>
      </c>
      <c r="N5" s="16">
        <v>84.208372093023257</v>
      </c>
      <c r="O5" s="17">
        <v>83.678759689922487</v>
      </c>
      <c r="P5" s="18">
        <v>11.1</v>
      </c>
      <c r="Q5" s="19">
        <v>13.6</v>
      </c>
      <c r="R5" s="19">
        <v>13</v>
      </c>
      <c r="S5" s="19">
        <v>13.9</v>
      </c>
      <c r="T5" s="20">
        <v>12.9</v>
      </c>
      <c r="U5" s="18">
        <v>16.2</v>
      </c>
      <c r="V5" s="19">
        <v>22.2</v>
      </c>
      <c r="W5" s="19">
        <v>20.6</v>
      </c>
      <c r="X5" s="19">
        <v>22.7</v>
      </c>
      <c r="Y5" s="21">
        <v>20.100000000000001</v>
      </c>
      <c r="Z5" s="22" t="str">
        <f t="shared" si="0"/>
        <v>4 класс</v>
      </c>
      <c r="AA5" s="14" t="str">
        <f t="shared" si="0"/>
        <v>3 класс</v>
      </c>
      <c r="AB5" s="14" t="str">
        <f t="shared" si="1"/>
        <v>4 класс</v>
      </c>
      <c r="AC5" s="14" t="str">
        <f t="shared" si="1"/>
        <v>3 класс</v>
      </c>
      <c r="AD5" s="23" t="str">
        <f t="shared" si="1"/>
        <v>4 класс</v>
      </c>
      <c r="AE5" s="24">
        <f t="shared" si="4"/>
        <v>65823.372093023252</v>
      </c>
      <c r="AF5" s="25">
        <f t="shared" si="4"/>
        <v>61239.069767441855</v>
      </c>
      <c r="AG5" s="25">
        <f t="shared" si="2"/>
        <v>67799.999999999985</v>
      </c>
      <c r="AH5" s="25">
        <f t="shared" si="2"/>
        <v>67366.697674418596</v>
      </c>
      <c r="AI5" s="26">
        <f t="shared" si="2"/>
        <v>62759.06976744187</v>
      </c>
      <c r="AJ5" s="22">
        <v>0</v>
      </c>
      <c r="AK5" s="25">
        <f t="shared" si="5"/>
        <v>-7384.3023255813969</v>
      </c>
      <c r="AL5" s="25">
        <f t="shared" si="6"/>
        <v>1276.6279069767334</v>
      </c>
      <c r="AM5" s="25">
        <f t="shared" si="7"/>
        <v>5.325581395343761</v>
      </c>
      <c r="AN5" s="27">
        <f t="shared" si="8"/>
        <v>-7678.3023255813823</v>
      </c>
    </row>
    <row r="6" spans="1:40" ht="18.75">
      <c r="A6" s="12" t="s">
        <v>19</v>
      </c>
      <c r="B6" s="12">
        <v>14.2</v>
      </c>
      <c r="C6" s="13">
        <f>[1]удобрения!Q5</f>
        <v>86.533333333333346</v>
      </c>
      <c r="D6" s="13">
        <f t="shared" si="3"/>
        <v>86.734573643410869</v>
      </c>
      <c r="E6" s="12">
        <v>14.5</v>
      </c>
      <c r="F6" s="12">
        <v>23.3</v>
      </c>
      <c r="G6" s="14">
        <v>746</v>
      </c>
      <c r="J6" s="15" t="s">
        <v>19</v>
      </c>
      <c r="K6" s="16">
        <v>86.734573643410869</v>
      </c>
      <c r="L6" s="16">
        <v>81.118759689922484</v>
      </c>
      <c r="M6" s="16">
        <v>89.346976744186051</v>
      </c>
      <c r="N6" s="16">
        <v>86.162790697674424</v>
      </c>
      <c r="O6" s="17">
        <v>81.837209302325576</v>
      </c>
      <c r="P6" s="18">
        <v>14.5</v>
      </c>
      <c r="Q6" s="19">
        <v>13.9</v>
      </c>
      <c r="R6" s="19">
        <v>14.8</v>
      </c>
      <c r="S6" s="19">
        <v>13.8</v>
      </c>
      <c r="T6" s="20">
        <v>15.8</v>
      </c>
      <c r="U6" s="18">
        <v>23.3</v>
      </c>
      <c r="V6" s="19">
        <v>22.8</v>
      </c>
      <c r="W6" s="19">
        <v>24</v>
      </c>
      <c r="X6" s="19">
        <v>22.2</v>
      </c>
      <c r="Y6" s="21">
        <v>27.2</v>
      </c>
      <c r="Z6" s="22" t="str">
        <f t="shared" si="0"/>
        <v>3 класс</v>
      </c>
      <c r="AA6" s="14" t="str">
        <f t="shared" si="0"/>
        <v>3 класс</v>
      </c>
      <c r="AB6" s="14" t="str">
        <f t="shared" si="1"/>
        <v>3 класс</v>
      </c>
      <c r="AC6" s="14" t="str">
        <f t="shared" si="1"/>
        <v>3 класс</v>
      </c>
      <c r="AD6" s="23" t="str">
        <f t="shared" si="1"/>
        <v>3 класс</v>
      </c>
      <c r="AE6" s="24">
        <f t="shared" si="4"/>
        <v>69387.658914728701</v>
      </c>
      <c r="AF6" s="25">
        <f t="shared" si="4"/>
        <v>64895.007751937992</v>
      </c>
      <c r="AG6" s="25">
        <f t="shared" si="2"/>
        <v>71477.58139534884</v>
      </c>
      <c r="AH6" s="25">
        <f t="shared" si="2"/>
        <v>68930.232558139542</v>
      </c>
      <c r="AI6" s="26">
        <f t="shared" si="2"/>
        <v>65469.767441860458</v>
      </c>
      <c r="AJ6" s="22">
        <v>0</v>
      </c>
      <c r="AK6" s="25">
        <f t="shared" si="5"/>
        <v>-7292.6511627907093</v>
      </c>
      <c r="AL6" s="25">
        <f t="shared" si="6"/>
        <v>1389.9224806201382</v>
      </c>
      <c r="AM6" s="25">
        <f t="shared" si="7"/>
        <v>-1995.4263565891597</v>
      </c>
      <c r="AN6" s="27">
        <f t="shared" si="8"/>
        <v>-8531.891472868243</v>
      </c>
    </row>
    <row r="7" spans="1:40" ht="18.75">
      <c r="A7" s="12" t="s">
        <v>20</v>
      </c>
      <c r="B7" s="12">
        <v>13.8</v>
      </c>
      <c r="C7" s="13">
        <f>[1]удобрения!Q6</f>
        <v>73.466666666666669</v>
      </c>
      <c r="D7" s="13">
        <f t="shared" si="3"/>
        <v>73.295813953488377</v>
      </c>
      <c r="E7" s="12">
        <v>14.4</v>
      </c>
      <c r="F7" s="12">
        <v>24.2</v>
      </c>
      <c r="G7" s="14">
        <v>718</v>
      </c>
      <c r="J7" s="15" t="s">
        <v>20</v>
      </c>
      <c r="K7" s="16">
        <v>73.295813953488377</v>
      </c>
      <c r="L7" s="16">
        <v>68.860465116279073</v>
      </c>
      <c r="M7" s="16">
        <v>75.778449612403094</v>
      </c>
      <c r="N7" s="16">
        <v>71.44883720930234</v>
      </c>
      <c r="O7" s="17">
        <v>69.844961240310084</v>
      </c>
      <c r="P7" s="18">
        <v>14.4</v>
      </c>
      <c r="Q7" s="19">
        <v>17.7</v>
      </c>
      <c r="R7" s="19">
        <v>16.2</v>
      </c>
      <c r="S7" s="19">
        <v>17.7</v>
      </c>
      <c r="T7" s="20">
        <v>17.8</v>
      </c>
      <c r="U7" s="18">
        <v>24.2</v>
      </c>
      <c r="V7" s="19">
        <v>32.9</v>
      </c>
      <c r="W7" s="19">
        <v>28.3</v>
      </c>
      <c r="X7" s="19">
        <v>32.200000000000003</v>
      </c>
      <c r="Y7" s="21">
        <v>32</v>
      </c>
      <c r="Z7" s="22" t="str">
        <f t="shared" si="0"/>
        <v>3 класс</v>
      </c>
      <c r="AA7" s="14" t="str">
        <f t="shared" si="0"/>
        <v>3 класс</v>
      </c>
      <c r="AB7" s="14" t="str">
        <f t="shared" si="1"/>
        <v>3 класс</v>
      </c>
      <c r="AC7" s="14" t="str">
        <f t="shared" si="1"/>
        <v>3 класс</v>
      </c>
      <c r="AD7" s="23" t="str">
        <f t="shared" si="1"/>
        <v>3 класс</v>
      </c>
      <c r="AE7" s="24">
        <f t="shared" si="4"/>
        <v>58636.651162790702</v>
      </c>
      <c r="AF7" s="25">
        <f t="shared" si="4"/>
        <v>55088.372093023252</v>
      </c>
      <c r="AG7" s="25">
        <f t="shared" si="2"/>
        <v>60622.759689922481</v>
      </c>
      <c r="AH7" s="25">
        <f t="shared" si="2"/>
        <v>57159.06976744187</v>
      </c>
      <c r="AI7" s="26">
        <f t="shared" si="2"/>
        <v>55875.968992248076</v>
      </c>
      <c r="AJ7" s="22">
        <v>0</v>
      </c>
      <c r="AK7" s="25">
        <f t="shared" si="5"/>
        <v>-6348.27906976745</v>
      </c>
      <c r="AL7" s="25">
        <f t="shared" si="6"/>
        <v>1286.1085271317788</v>
      </c>
      <c r="AM7" s="25">
        <f t="shared" si="7"/>
        <v>-3015.5813953488323</v>
      </c>
      <c r="AN7" s="27">
        <f t="shared" si="8"/>
        <v>-7374.6821705426264</v>
      </c>
    </row>
    <row r="8" spans="1:40" ht="18.75">
      <c r="A8" s="12" t="s">
        <v>21</v>
      </c>
      <c r="B8" s="12">
        <v>14.2</v>
      </c>
      <c r="C8" s="13">
        <f>[1]удобрения!Q7</f>
        <v>81.466666666666654</v>
      </c>
      <c r="D8" s="13">
        <f t="shared" si="3"/>
        <v>81.656124031007735</v>
      </c>
      <c r="E8" s="12">
        <v>14</v>
      </c>
      <c r="F8" s="12">
        <v>23.4</v>
      </c>
      <c r="G8" s="14">
        <v>730</v>
      </c>
      <c r="J8" s="15" t="s">
        <v>21</v>
      </c>
      <c r="K8" s="16">
        <v>81.656124031007735</v>
      </c>
      <c r="L8" s="16">
        <v>81.801550387596905</v>
      </c>
      <c r="M8" s="16">
        <v>85.363410852713173</v>
      </c>
      <c r="N8" s="16">
        <v>86.332093023255823</v>
      </c>
      <c r="O8" s="17">
        <v>82.354728682170531</v>
      </c>
      <c r="P8" s="18">
        <v>14</v>
      </c>
      <c r="Q8" s="19">
        <v>13.4</v>
      </c>
      <c r="R8" s="19">
        <v>14.5</v>
      </c>
      <c r="S8" s="19">
        <v>13.5</v>
      </c>
      <c r="T8" s="20">
        <v>14.2</v>
      </c>
      <c r="U8" s="18">
        <v>23.4</v>
      </c>
      <c r="V8" s="19">
        <v>22.1</v>
      </c>
      <c r="W8" s="19">
        <v>24.5</v>
      </c>
      <c r="X8" s="19">
        <v>22.7</v>
      </c>
      <c r="Y8" s="21">
        <v>23.9</v>
      </c>
      <c r="Z8" s="22" t="str">
        <f t="shared" si="0"/>
        <v>3 класс</v>
      </c>
      <c r="AA8" s="14" t="str">
        <f t="shared" si="0"/>
        <v>4 класс</v>
      </c>
      <c r="AB8" s="14" t="str">
        <f t="shared" si="1"/>
        <v>3 класс</v>
      </c>
      <c r="AC8" s="14" t="str">
        <f t="shared" si="1"/>
        <v>3 класс</v>
      </c>
      <c r="AD8" s="23" t="str">
        <f t="shared" si="1"/>
        <v>3 класс</v>
      </c>
      <c r="AE8" s="24">
        <f t="shared" si="4"/>
        <v>65324.899224806191</v>
      </c>
      <c r="AF8" s="25">
        <f t="shared" si="4"/>
        <v>61351.162790697672</v>
      </c>
      <c r="AG8" s="25">
        <f t="shared" si="2"/>
        <v>68290.728682170535</v>
      </c>
      <c r="AH8" s="25">
        <f t="shared" si="2"/>
        <v>69065.674418604656</v>
      </c>
      <c r="AI8" s="26">
        <f t="shared" si="2"/>
        <v>65883.782945736428</v>
      </c>
      <c r="AJ8" s="22">
        <v>0</v>
      </c>
      <c r="AK8" s="25">
        <f t="shared" si="5"/>
        <v>-6773.7364341085195</v>
      </c>
      <c r="AL8" s="25">
        <f t="shared" si="6"/>
        <v>2265.8294573643434</v>
      </c>
      <c r="AM8" s="25">
        <f t="shared" si="7"/>
        <v>2202.7751937984649</v>
      </c>
      <c r="AN8" s="27">
        <f t="shared" si="8"/>
        <v>-4055.1162790697636</v>
      </c>
    </row>
    <row r="9" spans="1:40" ht="19.5" thickBot="1">
      <c r="A9" s="12" t="s">
        <v>22</v>
      </c>
      <c r="B9" s="12">
        <v>13.5</v>
      </c>
      <c r="C9" s="13">
        <f>[1]удобрения!Q8</f>
        <v>88.533333333333346</v>
      </c>
      <c r="D9" s="13">
        <f t="shared" si="3"/>
        <v>88.018604651162804</v>
      </c>
      <c r="E9" s="12">
        <v>11.5</v>
      </c>
      <c r="F9" s="12">
        <v>16.899999999999999</v>
      </c>
      <c r="G9" s="14">
        <v>724</v>
      </c>
      <c r="J9" s="28" t="s">
        <v>22</v>
      </c>
      <c r="K9" s="29">
        <v>88.018604651162804</v>
      </c>
      <c r="L9" s="29">
        <v>85.965736434108507</v>
      </c>
      <c r="M9" s="29">
        <v>87.301395348837218</v>
      </c>
      <c r="N9" s="29">
        <v>85.002790697674428</v>
      </c>
      <c r="O9" s="30">
        <v>89.058139534883722</v>
      </c>
      <c r="P9" s="31">
        <v>11.5</v>
      </c>
      <c r="Q9" s="32">
        <v>13</v>
      </c>
      <c r="R9" s="32">
        <v>12.3</v>
      </c>
      <c r="S9" s="32">
        <v>13.5</v>
      </c>
      <c r="T9" s="33">
        <v>12.9</v>
      </c>
      <c r="U9" s="31">
        <v>16.899999999999999</v>
      </c>
      <c r="V9" s="32">
        <v>19.600000000000001</v>
      </c>
      <c r="W9" s="32">
        <v>18.3</v>
      </c>
      <c r="X9" s="32">
        <v>20.3</v>
      </c>
      <c r="Y9" s="34">
        <v>19.8</v>
      </c>
      <c r="Z9" s="35" t="str">
        <f t="shared" si="0"/>
        <v>4 класс</v>
      </c>
      <c r="AA9" s="36" t="str">
        <f t="shared" si="0"/>
        <v>4 класс</v>
      </c>
      <c r="AB9" s="36" t="str">
        <f t="shared" si="1"/>
        <v>4 класс</v>
      </c>
      <c r="AC9" s="36" t="str">
        <f t="shared" si="1"/>
        <v>3 класс</v>
      </c>
      <c r="AD9" s="37" t="str">
        <f t="shared" si="1"/>
        <v>4 класс</v>
      </c>
      <c r="AE9" s="38">
        <f t="shared" si="4"/>
        <v>66013.953488372106</v>
      </c>
      <c r="AF9" s="39">
        <f t="shared" si="4"/>
        <v>64474.302325581375</v>
      </c>
      <c r="AG9" s="39">
        <f t="shared" si="2"/>
        <v>65476.046511627908</v>
      </c>
      <c r="AH9" s="39">
        <f t="shared" si="2"/>
        <v>68002.232558139542</v>
      </c>
      <c r="AI9" s="40">
        <f t="shared" si="2"/>
        <v>66793.604651162794</v>
      </c>
      <c r="AJ9" s="35">
        <v>0</v>
      </c>
      <c r="AK9" s="39">
        <f t="shared" si="5"/>
        <v>-4339.6511627907312</v>
      </c>
      <c r="AL9" s="39">
        <f t="shared" si="6"/>
        <v>-1237.9069767441979</v>
      </c>
      <c r="AM9" s="39">
        <f t="shared" si="7"/>
        <v>450.27906976743543</v>
      </c>
      <c r="AN9" s="41">
        <f t="shared" si="8"/>
        <v>-3834.3488372093125</v>
      </c>
    </row>
    <row r="10" spans="1:40">
      <c r="J10" s="42" t="s">
        <v>23</v>
      </c>
      <c r="K10" s="43">
        <v>15380</v>
      </c>
      <c r="L10" s="44" t="s">
        <v>3</v>
      </c>
      <c r="M10" s="45" t="s">
        <v>24</v>
      </c>
      <c r="N10" s="46" t="s">
        <v>25</v>
      </c>
    </row>
    <row r="11" spans="1:40" ht="15" customHeight="1">
      <c r="A11" s="3" t="s">
        <v>26</v>
      </c>
      <c r="B11" s="4" t="s">
        <v>7</v>
      </c>
      <c r="C11" s="5" t="s">
        <v>8</v>
      </c>
      <c r="D11" s="5" t="s">
        <v>9</v>
      </c>
      <c r="E11" s="4" t="s">
        <v>1</v>
      </c>
      <c r="F11" s="4" t="s">
        <v>2</v>
      </c>
      <c r="G11" s="6" t="s">
        <v>10</v>
      </c>
      <c r="J11" s="47" t="s">
        <v>27</v>
      </c>
      <c r="K11" s="48">
        <v>14000</v>
      </c>
      <c r="L11" s="49" t="s">
        <v>28</v>
      </c>
      <c r="M11" s="50">
        <v>13.5</v>
      </c>
      <c r="N11" s="51">
        <v>8000</v>
      </c>
    </row>
    <row r="12" spans="1:40" ht="19.5" thickBot="1">
      <c r="A12" s="12" t="s">
        <v>16</v>
      </c>
      <c r="B12" s="12">
        <v>13.8</v>
      </c>
      <c r="C12" s="13">
        <f>[1]удобрения!R2</f>
        <v>75.2</v>
      </c>
      <c r="D12" s="13">
        <f>C12-C12*(14-B12)/(100-14)</f>
        <v>75.025116279069778</v>
      </c>
      <c r="E12" s="12">
        <v>14</v>
      </c>
      <c r="F12" s="12">
        <v>22.7</v>
      </c>
      <c r="G12" s="14">
        <v>719</v>
      </c>
      <c r="J12" s="52" t="s">
        <v>29</v>
      </c>
      <c r="K12" s="53">
        <v>14000</v>
      </c>
      <c r="L12" s="49" t="s">
        <v>30</v>
      </c>
      <c r="M12" s="50">
        <v>12</v>
      </c>
      <c r="N12" s="51">
        <v>7500</v>
      </c>
    </row>
    <row r="13" spans="1:40" ht="19.5" thickBot="1">
      <c r="A13" s="12" t="s">
        <v>17</v>
      </c>
      <c r="B13" s="12">
        <v>13.4</v>
      </c>
      <c r="C13" s="13">
        <f>[1]удобрения!R3</f>
        <v>91.866666666666674</v>
      </c>
      <c r="D13" s="13">
        <f t="shared" ref="D13:D18" si="9">C13-C13*(14-B13)/(100-14)</f>
        <v>91.225736434108541</v>
      </c>
      <c r="E13" s="12">
        <v>12.6</v>
      </c>
      <c r="F13" s="12">
        <v>18.8</v>
      </c>
      <c r="G13" s="14">
        <v>715</v>
      </c>
      <c r="L13" s="54" t="s">
        <v>31</v>
      </c>
      <c r="M13" s="55">
        <v>10</v>
      </c>
      <c r="N13" s="56">
        <v>7300</v>
      </c>
    </row>
    <row r="14" spans="1:40" ht="18.75">
      <c r="A14" s="12" t="s">
        <v>18</v>
      </c>
      <c r="B14" s="12">
        <v>13.4</v>
      </c>
      <c r="C14" s="13">
        <f>[1]удобрения!R4</f>
        <v>84.8</v>
      </c>
      <c r="D14" s="13">
        <f t="shared" si="9"/>
        <v>84.208372093023257</v>
      </c>
      <c r="E14" s="12">
        <v>13.9</v>
      </c>
      <c r="F14" s="12">
        <v>22.7</v>
      </c>
      <c r="G14" s="14">
        <v>695</v>
      </c>
    </row>
    <row r="15" spans="1:40" ht="18.75">
      <c r="A15" s="12" t="s">
        <v>19</v>
      </c>
      <c r="B15" s="12">
        <v>13.5</v>
      </c>
      <c r="C15" s="13">
        <f>[1]удобрения!R5</f>
        <v>86.666666666666671</v>
      </c>
      <c r="D15" s="13">
        <f t="shared" si="9"/>
        <v>86.162790697674424</v>
      </c>
      <c r="E15" s="12">
        <v>13.8</v>
      </c>
      <c r="F15" s="12">
        <v>22.2</v>
      </c>
      <c r="G15" s="14">
        <v>751</v>
      </c>
    </row>
    <row r="16" spans="1:40" ht="18.75">
      <c r="A16" s="12" t="s">
        <v>20</v>
      </c>
      <c r="B16" s="12">
        <v>13.5</v>
      </c>
      <c r="C16" s="13">
        <f>[1]удобрения!R6</f>
        <v>71.866666666666674</v>
      </c>
      <c r="D16" s="13">
        <f t="shared" si="9"/>
        <v>71.44883720930234</v>
      </c>
      <c r="E16" s="12">
        <v>17.7</v>
      </c>
      <c r="F16" s="12">
        <v>32.200000000000003</v>
      </c>
      <c r="G16" s="14">
        <v>718</v>
      </c>
    </row>
    <row r="17" spans="1:34" ht="18.75">
      <c r="A17" s="12" t="s">
        <v>21</v>
      </c>
      <c r="B17" s="12">
        <v>13.8</v>
      </c>
      <c r="C17" s="13">
        <f>[1]удобрения!R7</f>
        <v>86.533333333333346</v>
      </c>
      <c r="D17" s="13">
        <f t="shared" si="9"/>
        <v>86.332093023255823</v>
      </c>
      <c r="E17" s="12">
        <v>13.5</v>
      </c>
      <c r="F17" s="12">
        <v>22.7</v>
      </c>
      <c r="G17" s="14">
        <v>734</v>
      </c>
    </row>
    <row r="18" spans="1:34" ht="18.75">
      <c r="A18" s="12" t="s">
        <v>22</v>
      </c>
      <c r="B18" s="12">
        <v>13.4</v>
      </c>
      <c r="C18" s="13">
        <f>[1]удобрения!R8</f>
        <v>85.600000000000009</v>
      </c>
      <c r="D18" s="13">
        <f t="shared" si="9"/>
        <v>85.002790697674428</v>
      </c>
      <c r="E18" s="12">
        <v>13.5</v>
      </c>
      <c r="F18" s="12">
        <v>20.3</v>
      </c>
      <c r="G18" s="14">
        <v>702</v>
      </c>
    </row>
    <row r="20" spans="1:34" ht="56.25">
      <c r="A20" s="3" t="s">
        <v>32</v>
      </c>
      <c r="B20" s="4" t="s">
        <v>7</v>
      </c>
      <c r="C20" s="5" t="s">
        <v>8</v>
      </c>
      <c r="D20" s="5" t="s">
        <v>9</v>
      </c>
      <c r="E20" s="4" t="s">
        <v>1</v>
      </c>
      <c r="F20" s="4" t="s">
        <v>2</v>
      </c>
      <c r="G20" s="6" t="s">
        <v>10</v>
      </c>
    </row>
    <row r="21" spans="1:34" ht="18.75">
      <c r="A21" s="12" t="s">
        <v>16</v>
      </c>
      <c r="B21" s="12">
        <v>13.8</v>
      </c>
      <c r="C21" s="13">
        <f>[1]удобрения!S2</f>
        <v>76.666666666666671</v>
      </c>
      <c r="D21" s="13">
        <f>C21-C21*(14-B21)/(100-14)</f>
        <v>76.488372093023258</v>
      </c>
      <c r="E21" s="12">
        <v>13.5</v>
      </c>
      <c r="F21" s="12">
        <v>21</v>
      </c>
      <c r="G21" s="14">
        <v>726</v>
      </c>
    </row>
    <row r="22" spans="1:34" ht="18.75">
      <c r="A22" s="12" t="s">
        <v>17</v>
      </c>
      <c r="B22" s="12">
        <v>13.3</v>
      </c>
      <c r="C22" s="13">
        <f>[1]удобрения!S3</f>
        <v>90.533333333333346</v>
      </c>
      <c r="D22" s="13">
        <f>C22-C22*(14-B22)/(100-14)</f>
        <v>89.796434108527151</v>
      </c>
      <c r="E22" s="12">
        <v>13.6</v>
      </c>
      <c r="F22" s="12">
        <v>21.5</v>
      </c>
      <c r="G22" s="14">
        <v>705</v>
      </c>
    </row>
    <row r="23" spans="1:34" ht="18.75">
      <c r="A23" s="12" t="s">
        <v>18</v>
      </c>
      <c r="B23" s="12">
        <v>13.4</v>
      </c>
      <c r="C23" s="13">
        <f>[1]удобрения!S4</f>
        <v>84.266666666666666</v>
      </c>
      <c r="D23" s="13">
        <f t="shared" ref="D23:D27" si="10">C23-C23*(14-B23)/(100-14)</f>
        <v>83.678759689922487</v>
      </c>
      <c r="E23" s="12">
        <v>12.9</v>
      </c>
      <c r="F23" s="12">
        <v>20.100000000000001</v>
      </c>
      <c r="G23" s="14">
        <v>702</v>
      </c>
    </row>
    <row r="24" spans="1:34" ht="18.75">
      <c r="A24" s="12" t="s">
        <v>19</v>
      </c>
      <c r="B24" s="12">
        <v>13</v>
      </c>
      <c r="C24" s="13">
        <f>[1]удобрения!S5</f>
        <v>82.8</v>
      </c>
      <c r="D24" s="13">
        <f t="shared" si="10"/>
        <v>81.837209302325576</v>
      </c>
      <c r="E24" s="12">
        <v>15.8</v>
      </c>
      <c r="F24" s="12">
        <v>27.2</v>
      </c>
      <c r="G24" s="14">
        <v>748</v>
      </c>
    </row>
    <row r="25" spans="1:34" ht="18.75">
      <c r="A25" s="12" t="s">
        <v>20</v>
      </c>
      <c r="B25" s="12">
        <v>13</v>
      </c>
      <c r="C25" s="13">
        <f>[1]удобрения!S6</f>
        <v>70.666666666666671</v>
      </c>
      <c r="D25" s="13">
        <f t="shared" si="10"/>
        <v>69.844961240310084</v>
      </c>
      <c r="E25" s="12">
        <v>17.8</v>
      </c>
      <c r="F25" s="12">
        <v>32</v>
      </c>
      <c r="G25" s="14">
        <v>710</v>
      </c>
    </row>
    <row r="26" spans="1:34" ht="18.75">
      <c r="A26" s="12" t="s">
        <v>21</v>
      </c>
      <c r="B26" s="12">
        <v>13.4</v>
      </c>
      <c r="C26" s="13">
        <f>[1]удобрения!S7</f>
        <v>82.933333333333323</v>
      </c>
      <c r="D26" s="13">
        <f t="shared" si="10"/>
        <v>82.354728682170531</v>
      </c>
      <c r="E26" s="12">
        <v>14.2</v>
      </c>
      <c r="F26" s="12">
        <v>23.9</v>
      </c>
      <c r="G26" s="14">
        <v>730</v>
      </c>
    </row>
    <row r="27" spans="1:34" ht="18.75">
      <c r="A27" s="12" t="s">
        <v>22</v>
      </c>
      <c r="B27" s="12">
        <v>13.1</v>
      </c>
      <c r="C27" s="13">
        <f>[1]удобрения!S8</f>
        <v>90</v>
      </c>
      <c r="D27" s="13">
        <f t="shared" si="10"/>
        <v>89.058139534883722</v>
      </c>
      <c r="E27" s="12">
        <v>12.9</v>
      </c>
      <c r="F27" s="12">
        <v>19.8</v>
      </c>
      <c r="G27" s="14">
        <v>714</v>
      </c>
    </row>
    <row r="29" spans="1:34" ht="56.25">
      <c r="A29" s="3" t="s">
        <v>33</v>
      </c>
      <c r="B29" s="4" t="s">
        <v>7</v>
      </c>
      <c r="C29" s="5" t="s">
        <v>8</v>
      </c>
      <c r="D29" s="5" t="s">
        <v>9</v>
      </c>
      <c r="E29" s="4" t="s">
        <v>1</v>
      </c>
      <c r="F29" s="4" t="s">
        <v>2</v>
      </c>
      <c r="G29" s="6" t="s">
        <v>10</v>
      </c>
    </row>
    <row r="30" spans="1:34" ht="18.75">
      <c r="A30" s="12" t="s">
        <v>16</v>
      </c>
      <c r="B30" s="12">
        <v>12.8</v>
      </c>
      <c r="C30" s="13">
        <f>[1]удобрения!T2</f>
        <v>75.86666666666666</v>
      </c>
      <c r="D30" s="13">
        <f>C30-C30*(14-B30)/(100-14)</f>
        <v>74.808062015503864</v>
      </c>
      <c r="E30" s="12">
        <v>13.9</v>
      </c>
      <c r="F30" s="12">
        <v>22.8</v>
      </c>
      <c r="G30" s="14">
        <v>724</v>
      </c>
    </row>
    <row r="31" spans="1:34" ht="19.5" thickBot="1">
      <c r="A31" s="12" t="s">
        <v>17</v>
      </c>
      <c r="B31" s="12">
        <v>12.8</v>
      </c>
      <c r="C31" s="13">
        <f>[1]удобрения!T3</f>
        <v>88.666666666666671</v>
      </c>
      <c r="D31" s="13">
        <f t="shared" ref="D31:D36" si="11">C31-C31*(14-B31)/(100-14)</f>
        <v>87.42945736434109</v>
      </c>
      <c r="E31" s="12">
        <v>12</v>
      </c>
      <c r="F31" s="12">
        <v>18.100000000000001</v>
      </c>
      <c r="G31" s="14">
        <v>715</v>
      </c>
    </row>
    <row r="32" spans="1:34" ht="18.75">
      <c r="A32" s="12" t="s">
        <v>18</v>
      </c>
      <c r="B32" s="12">
        <v>12.4</v>
      </c>
      <c r="C32" s="13">
        <f>[1]удобрения!T4</f>
        <v>78</v>
      </c>
      <c r="D32" s="13">
        <f t="shared" si="11"/>
        <v>76.54883720930232</v>
      </c>
      <c r="E32" s="12">
        <v>13.6</v>
      </c>
      <c r="F32" s="12">
        <v>22.2</v>
      </c>
      <c r="G32" s="14">
        <v>696</v>
      </c>
      <c r="K32" s="57" t="s">
        <v>34</v>
      </c>
      <c r="L32" s="58"/>
      <c r="M32" s="58"/>
      <c r="N32" s="58"/>
      <c r="O32" s="57" t="s">
        <v>7</v>
      </c>
      <c r="P32" s="58"/>
      <c r="Q32" s="58"/>
      <c r="R32" s="59"/>
      <c r="S32" s="57" t="s">
        <v>35</v>
      </c>
      <c r="T32" s="58"/>
      <c r="U32" s="58"/>
      <c r="V32" s="58"/>
      <c r="W32" s="57" t="s">
        <v>36</v>
      </c>
      <c r="X32" s="58"/>
      <c r="Y32" s="58"/>
      <c r="Z32" s="59"/>
      <c r="AA32" s="57" t="s">
        <v>2</v>
      </c>
      <c r="AB32" s="58"/>
      <c r="AC32" s="58"/>
      <c r="AD32" s="58"/>
      <c r="AE32" s="57" t="s">
        <v>37</v>
      </c>
      <c r="AF32" s="58"/>
      <c r="AG32" s="58"/>
      <c r="AH32" s="59"/>
    </row>
    <row r="33" spans="1:34" ht="18.75">
      <c r="A33" s="12" t="s">
        <v>19</v>
      </c>
      <c r="B33" s="12">
        <v>12.8</v>
      </c>
      <c r="C33" s="13">
        <f>[1]удобрения!T5</f>
        <v>82.266666666666666</v>
      </c>
      <c r="D33" s="13">
        <f t="shared" si="11"/>
        <v>81.118759689922484</v>
      </c>
      <c r="E33" s="12">
        <v>13.9</v>
      </c>
      <c r="F33" s="12">
        <v>22.8</v>
      </c>
      <c r="G33" s="14">
        <v>748</v>
      </c>
      <c r="J33" s="23" t="s">
        <v>38</v>
      </c>
      <c r="K33" s="60">
        <v>42621</v>
      </c>
      <c r="L33" s="61">
        <v>42623</v>
      </c>
      <c r="M33" s="61">
        <v>42628</v>
      </c>
      <c r="N33" s="62">
        <v>42633</v>
      </c>
      <c r="O33" s="60">
        <v>42621</v>
      </c>
      <c r="P33" s="61">
        <v>42623</v>
      </c>
      <c r="Q33" s="61">
        <v>42628</v>
      </c>
      <c r="R33" s="63">
        <v>42633</v>
      </c>
      <c r="S33" s="64">
        <v>42621</v>
      </c>
      <c r="T33" s="61">
        <v>42623</v>
      </c>
      <c r="U33" s="61">
        <v>42628</v>
      </c>
      <c r="V33" s="62">
        <v>42633</v>
      </c>
      <c r="W33" s="60">
        <v>42621</v>
      </c>
      <c r="X33" s="61">
        <v>42623</v>
      </c>
      <c r="Y33" s="61">
        <v>42628</v>
      </c>
      <c r="Z33" s="63">
        <v>42633</v>
      </c>
      <c r="AA33" s="64">
        <v>42621</v>
      </c>
      <c r="AB33" s="61">
        <v>42623</v>
      </c>
      <c r="AC33" s="61">
        <v>42628</v>
      </c>
      <c r="AD33" s="62">
        <v>42633</v>
      </c>
      <c r="AE33" s="60">
        <v>42621</v>
      </c>
      <c r="AF33" s="61">
        <v>42623</v>
      </c>
      <c r="AG33" s="61">
        <v>42628</v>
      </c>
      <c r="AH33" s="63">
        <v>42633</v>
      </c>
    </row>
    <row r="34" spans="1:34" ht="18.75">
      <c r="A34" s="12" t="s">
        <v>20</v>
      </c>
      <c r="B34" s="12">
        <v>12.6</v>
      </c>
      <c r="C34" s="13">
        <f>[1]удобрения!T6</f>
        <v>70</v>
      </c>
      <c r="D34" s="13">
        <f t="shared" si="11"/>
        <v>68.860465116279073</v>
      </c>
      <c r="E34" s="12">
        <v>17.7</v>
      </c>
      <c r="F34" s="12">
        <v>32.9</v>
      </c>
      <c r="G34" s="14">
        <v>713</v>
      </c>
      <c r="J34" s="23" t="s">
        <v>39</v>
      </c>
      <c r="K34" s="65">
        <f>(17.9+18.9+17.2)/3*4</f>
        <v>72</v>
      </c>
      <c r="L34" s="66">
        <f>(17.6+18.8+17)/3*4</f>
        <v>71.2</v>
      </c>
      <c r="M34" s="66">
        <f>(16.7+16.5+16)/3*4</f>
        <v>65.600000000000009</v>
      </c>
      <c r="N34" s="67">
        <f>(17.9+17.9+18.1)/3*4</f>
        <v>71.86666666666666</v>
      </c>
      <c r="O34" s="65">
        <v>12.6</v>
      </c>
      <c r="P34" s="66">
        <v>12.2</v>
      </c>
      <c r="Q34" s="66">
        <v>12.2</v>
      </c>
      <c r="R34" s="68">
        <v>12.2</v>
      </c>
      <c r="S34" s="69">
        <f>K34-K34*(O34-14)/(100-14)</f>
        <v>73.172093023255812</v>
      </c>
      <c r="T34" s="66">
        <f t="shared" ref="T34:V36" si="12">L34-L34*(P34-14)/(100-14)</f>
        <v>72.690232558139542</v>
      </c>
      <c r="U34" s="66">
        <f t="shared" si="12"/>
        <v>66.973023255813956</v>
      </c>
      <c r="V34" s="67">
        <f t="shared" si="12"/>
        <v>73.370852713178294</v>
      </c>
      <c r="W34" s="22">
        <v>12</v>
      </c>
      <c r="X34" s="14">
        <v>12.7</v>
      </c>
      <c r="Y34" s="14">
        <v>12.2</v>
      </c>
      <c r="Z34" s="70">
        <v>13.2</v>
      </c>
      <c r="AA34" s="71">
        <v>18.7</v>
      </c>
      <c r="AB34" s="14">
        <v>20.3</v>
      </c>
      <c r="AC34" s="14">
        <v>19.2</v>
      </c>
      <c r="AD34" s="23">
        <v>22.1</v>
      </c>
      <c r="AE34" s="22">
        <v>737</v>
      </c>
      <c r="AF34" s="14">
        <v>732</v>
      </c>
      <c r="AG34" s="14">
        <v>739</v>
      </c>
      <c r="AH34" s="70">
        <v>746</v>
      </c>
    </row>
    <row r="35" spans="1:34" ht="18.75">
      <c r="A35" s="12" t="s">
        <v>21</v>
      </c>
      <c r="B35" s="12">
        <v>13.1</v>
      </c>
      <c r="C35" s="13">
        <f>[1]удобрения!T7</f>
        <v>82.666666666666671</v>
      </c>
      <c r="D35" s="13">
        <f t="shared" si="11"/>
        <v>81.801550387596905</v>
      </c>
      <c r="E35" s="12">
        <v>13.4</v>
      </c>
      <c r="F35" s="12">
        <v>22.1</v>
      </c>
      <c r="G35" s="14">
        <v>730</v>
      </c>
      <c r="J35" s="23" t="s">
        <v>40</v>
      </c>
      <c r="K35" s="65">
        <f>(18.5+18.8+18)/3*4</f>
        <v>73.733333333333334</v>
      </c>
      <c r="L35" s="66">
        <f>(18.4+19.5+17)/3*4</f>
        <v>73.2</v>
      </c>
      <c r="M35" s="66">
        <f>(17.9+17.5+16.5)/3*4</f>
        <v>69.2</v>
      </c>
      <c r="N35" s="67">
        <f>(18+19+19.5)/3*4</f>
        <v>75.333333333333329</v>
      </c>
      <c r="O35" s="65">
        <v>12.3</v>
      </c>
      <c r="P35" s="66">
        <v>12.3</v>
      </c>
      <c r="Q35" s="66">
        <v>12.3</v>
      </c>
      <c r="R35" s="68">
        <v>12.5</v>
      </c>
      <c r="S35" s="69">
        <f t="shared" ref="S35:S36" si="13">K35-K35*(O35-14)/(100-14)</f>
        <v>75.190852713178302</v>
      </c>
      <c r="T35" s="66">
        <f t="shared" si="12"/>
        <v>74.646976744186048</v>
      </c>
      <c r="U35" s="66">
        <f t="shared" si="12"/>
        <v>70.567906976744183</v>
      </c>
      <c r="V35" s="67">
        <f t="shared" si="12"/>
        <v>76.647286821705421</v>
      </c>
      <c r="W35" s="22">
        <v>12.4</v>
      </c>
      <c r="X35" s="14">
        <v>11.4</v>
      </c>
      <c r="Y35" s="14">
        <v>13.3</v>
      </c>
      <c r="Z35" s="70">
        <v>11.7</v>
      </c>
      <c r="AA35" s="71">
        <v>19.8</v>
      </c>
      <c r="AB35" s="14">
        <v>16.899999999999999</v>
      </c>
      <c r="AC35" s="14">
        <v>22</v>
      </c>
      <c r="AD35" s="23">
        <v>17.8</v>
      </c>
      <c r="AE35" s="22">
        <v>738</v>
      </c>
      <c r="AF35" s="14">
        <v>735</v>
      </c>
      <c r="AG35" s="14">
        <v>734</v>
      </c>
      <c r="AH35" s="70">
        <v>757</v>
      </c>
    </row>
    <row r="36" spans="1:34" ht="19.5" thickBot="1">
      <c r="A36" s="12" t="s">
        <v>22</v>
      </c>
      <c r="B36" s="12">
        <v>13.7</v>
      </c>
      <c r="C36" s="13">
        <f>[1]удобрения!T8</f>
        <v>86.266666666666652</v>
      </c>
      <c r="D36" s="13">
        <f t="shared" si="11"/>
        <v>85.965736434108507</v>
      </c>
      <c r="E36" s="12">
        <v>13</v>
      </c>
      <c r="F36" s="12">
        <v>19.600000000000001</v>
      </c>
      <c r="G36" s="14">
        <v>708</v>
      </c>
      <c r="J36" s="23" t="s">
        <v>41</v>
      </c>
      <c r="K36" s="72">
        <f>(19+19+18.2)/3*4</f>
        <v>74.933333333333337</v>
      </c>
      <c r="L36" s="73">
        <f>(19+19+18)/3*4</f>
        <v>74.666666666666671</v>
      </c>
      <c r="M36" s="73">
        <f>(16.5+16.8+16.5)/3*4</f>
        <v>66.399999999999991</v>
      </c>
      <c r="N36" s="74">
        <f>(18.9+18.1+17.5)/3*4</f>
        <v>72.666666666666671</v>
      </c>
      <c r="O36" s="72">
        <v>12.2</v>
      </c>
      <c r="P36" s="73">
        <v>12.5</v>
      </c>
      <c r="Q36" s="73">
        <v>12.5</v>
      </c>
      <c r="R36" s="75">
        <v>13</v>
      </c>
      <c r="S36" s="76">
        <f t="shared" si="13"/>
        <v>76.501705426356594</v>
      </c>
      <c r="T36" s="73">
        <f t="shared" si="12"/>
        <v>75.968992248062023</v>
      </c>
      <c r="U36" s="73">
        <f t="shared" si="12"/>
        <v>67.558139534883708</v>
      </c>
      <c r="V36" s="74">
        <f t="shared" si="12"/>
        <v>73.511627906976756</v>
      </c>
      <c r="W36" s="35">
        <v>11.4</v>
      </c>
      <c r="X36" s="36">
        <v>13.2</v>
      </c>
      <c r="Y36" s="36">
        <v>12.8</v>
      </c>
      <c r="Z36" s="77">
        <v>12.9</v>
      </c>
      <c r="AA36" s="78">
        <v>16.8</v>
      </c>
      <c r="AB36" s="36">
        <v>21.3</v>
      </c>
      <c r="AC36" s="36">
        <v>19.8</v>
      </c>
      <c r="AD36" s="37">
        <v>21</v>
      </c>
      <c r="AE36" s="35">
        <v>740</v>
      </c>
      <c r="AF36" s="36">
        <v>727</v>
      </c>
      <c r="AG36" s="36"/>
      <c r="AH36" s="77">
        <v>732</v>
      </c>
    </row>
    <row r="37" spans="1:34" ht="19.5" thickBot="1">
      <c r="A37" s="12"/>
      <c r="B37" s="12"/>
      <c r="C37" s="13"/>
      <c r="D37" s="13"/>
      <c r="E37" s="12"/>
      <c r="F37" s="12"/>
      <c r="G37" s="14"/>
    </row>
    <row r="38" spans="1:34" ht="56.25">
      <c r="A38" s="3" t="s">
        <v>27</v>
      </c>
      <c r="B38" s="4" t="s">
        <v>7</v>
      </c>
      <c r="C38" s="5" t="s">
        <v>8</v>
      </c>
      <c r="D38" s="5" t="s">
        <v>9</v>
      </c>
      <c r="E38" s="4" t="s">
        <v>1</v>
      </c>
      <c r="F38" s="4" t="s">
        <v>2</v>
      </c>
      <c r="G38" s="6" t="s">
        <v>10</v>
      </c>
      <c r="K38" s="57" t="s">
        <v>34</v>
      </c>
      <c r="L38" s="58"/>
      <c r="M38" s="58"/>
      <c r="N38" s="58"/>
      <c r="O38" s="57" t="s">
        <v>7</v>
      </c>
      <c r="P38" s="58"/>
      <c r="Q38" s="58"/>
      <c r="R38" s="59"/>
      <c r="S38" s="57" t="s">
        <v>9</v>
      </c>
      <c r="T38" s="58"/>
      <c r="U38" s="58"/>
      <c r="V38" s="58"/>
      <c r="W38" s="57" t="s">
        <v>1</v>
      </c>
      <c r="X38" s="58"/>
      <c r="Y38" s="58"/>
      <c r="Z38" s="59"/>
      <c r="AA38" s="57" t="s">
        <v>2</v>
      </c>
      <c r="AB38" s="58"/>
      <c r="AC38" s="58"/>
      <c r="AD38" s="58"/>
      <c r="AE38" s="57" t="s">
        <v>37</v>
      </c>
      <c r="AF38" s="58"/>
      <c r="AG38" s="58"/>
      <c r="AH38" s="59"/>
    </row>
    <row r="39" spans="1:34" ht="18.75">
      <c r="A39" s="12" t="s">
        <v>16</v>
      </c>
      <c r="B39" s="12">
        <v>13.4</v>
      </c>
      <c r="C39" s="13">
        <f>[1]удобрения!U2</f>
        <v>81.333333333333329</v>
      </c>
      <c r="D39" s="13">
        <f>C39-C39*(14-B39)/(100-14)</f>
        <v>80.765891472868219</v>
      </c>
      <c r="E39" s="12">
        <v>12.7</v>
      </c>
      <c r="F39" s="12">
        <v>19.899999999999999</v>
      </c>
      <c r="G39" s="14"/>
      <c r="J39" s="23" t="s">
        <v>42</v>
      </c>
      <c r="K39" s="60">
        <v>42621</v>
      </c>
      <c r="L39" s="61">
        <v>42623</v>
      </c>
      <c r="M39" s="61">
        <v>42628</v>
      </c>
      <c r="N39" s="62">
        <v>42633</v>
      </c>
      <c r="O39" s="60">
        <v>42621</v>
      </c>
      <c r="P39" s="61">
        <v>42623</v>
      </c>
      <c r="Q39" s="61">
        <v>42628</v>
      </c>
      <c r="R39" s="63">
        <v>42633</v>
      </c>
      <c r="S39" s="64">
        <v>42621</v>
      </c>
      <c r="T39" s="61">
        <v>42623</v>
      </c>
      <c r="U39" s="61">
        <v>42628</v>
      </c>
      <c r="V39" s="62">
        <v>42633</v>
      </c>
      <c r="W39" s="60">
        <v>42621</v>
      </c>
      <c r="X39" s="61">
        <v>42623</v>
      </c>
      <c r="Y39" s="61">
        <v>42628</v>
      </c>
      <c r="Z39" s="63">
        <v>42633</v>
      </c>
      <c r="AA39" s="64">
        <v>42621</v>
      </c>
      <c r="AB39" s="61">
        <v>42623</v>
      </c>
      <c r="AC39" s="61">
        <v>42628</v>
      </c>
      <c r="AD39" s="62">
        <v>42633</v>
      </c>
      <c r="AE39" s="60">
        <v>42621</v>
      </c>
      <c r="AF39" s="61">
        <v>42623</v>
      </c>
      <c r="AG39" s="61">
        <v>42628</v>
      </c>
      <c r="AH39" s="63">
        <v>42633</v>
      </c>
    </row>
    <row r="40" spans="1:34" ht="18.75">
      <c r="A40" s="12" t="s">
        <v>17</v>
      </c>
      <c r="B40" s="12">
        <v>13.6</v>
      </c>
      <c r="C40" s="13">
        <f>[1]удобрения!U3</f>
        <v>92.666666666666671</v>
      </c>
      <c r="D40" s="13">
        <f t="shared" ref="D40:D45" si="14">C40-C40*(14-B40)/(100-14)</f>
        <v>92.235658914728688</v>
      </c>
      <c r="E40" s="12">
        <v>12.6</v>
      </c>
      <c r="F40" s="12">
        <v>20.100000000000001</v>
      </c>
      <c r="G40" s="14">
        <v>718</v>
      </c>
      <c r="J40" s="23" t="s">
        <v>39</v>
      </c>
      <c r="K40" s="65">
        <f>(21.1+21.5+20)/3*4</f>
        <v>83.466666666666669</v>
      </c>
      <c r="L40" s="66">
        <f>(21.1+21.3+20)/3*4</f>
        <v>83.2</v>
      </c>
      <c r="M40" s="66">
        <f>(21+22+20.7)/3*4</f>
        <v>84.933333333333337</v>
      </c>
      <c r="N40" s="67">
        <f>(21.3+21.1+20)/3*4</f>
        <v>83.2</v>
      </c>
      <c r="O40" s="65">
        <v>12.3</v>
      </c>
      <c r="P40" s="66">
        <v>12</v>
      </c>
      <c r="Q40" s="66">
        <v>12.4</v>
      </c>
      <c r="R40" s="68">
        <v>12</v>
      </c>
      <c r="S40" s="69">
        <f>K40-K40*(O40-14)/(100-14)</f>
        <v>85.116589147286817</v>
      </c>
      <c r="T40" s="66">
        <f t="shared" ref="T40:V42" si="15">L40-L40*(P40-14)/(100-14)</f>
        <v>85.134883720930233</v>
      </c>
      <c r="U40" s="66">
        <f t="shared" si="15"/>
        <v>86.513488372093022</v>
      </c>
      <c r="V40" s="67">
        <f t="shared" si="15"/>
        <v>85.134883720930233</v>
      </c>
      <c r="W40" s="22">
        <v>11.2</v>
      </c>
      <c r="X40" s="14">
        <v>12.6</v>
      </c>
      <c r="Y40" s="14">
        <v>11.3</v>
      </c>
      <c r="Z40" s="70">
        <v>13</v>
      </c>
      <c r="AA40" s="71">
        <v>16.899999999999999</v>
      </c>
      <c r="AB40" s="14">
        <v>19.2</v>
      </c>
      <c r="AC40" s="14">
        <v>16.7</v>
      </c>
      <c r="AD40" s="23">
        <v>21</v>
      </c>
      <c r="AE40" s="22">
        <v>715</v>
      </c>
      <c r="AF40" s="14">
        <v>707</v>
      </c>
      <c r="AG40" s="14">
        <v>735</v>
      </c>
      <c r="AH40" s="70">
        <v>735</v>
      </c>
    </row>
    <row r="41" spans="1:34" ht="18.75">
      <c r="A41" s="12" t="s">
        <v>18</v>
      </c>
      <c r="B41" s="12">
        <v>14</v>
      </c>
      <c r="C41" s="13">
        <f>[1]удобрения!U4</f>
        <v>90.399999999999991</v>
      </c>
      <c r="D41" s="13">
        <f t="shared" si="14"/>
        <v>90.399999999999991</v>
      </c>
      <c r="E41" s="12">
        <v>13</v>
      </c>
      <c r="F41" s="12">
        <v>20.6</v>
      </c>
      <c r="G41" s="14">
        <v>716</v>
      </c>
      <c r="J41" s="23" t="s">
        <v>40</v>
      </c>
      <c r="K41" s="65">
        <f>(20+20.6+19.9)/3*4</f>
        <v>80.666666666666671</v>
      </c>
      <c r="L41" s="66">
        <f>(20.7+21.6+20.5)/3*4</f>
        <v>83.733333333333334</v>
      </c>
      <c r="M41" s="66">
        <f>(19.4+21.1+20)/3*4</f>
        <v>80.666666666666671</v>
      </c>
      <c r="N41" s="67">
        <f>(20.7+21.3+20)/3*4</f>
        <v>82.666666666666671</v>
      </c>
      <c r="O41" s="65">
        <v>12.4</v>
      </c>
      <c r="P41" s="66">
        <v>12.2</v>
      </c>
      <c r="Q41" s="66">
        <v>12.4</v>
      </c>
      <c r="R41" s="68">
        <v>12.2</v>
      </c>
      <c r="S41" s="69">
        <f t="shared" ref="S41:S42" si="16">K41-K41*(O41-14)/(100-14)</f>
        <v>82.167441860465118</v>
      </c>
      <c r="T41" s="66">
        <f t="shared" si="15"/>
        <v>85.485891472868218</v>
      </c>
      <c r="U41" s="66">
        <f t="shared" si="15"/>
        <v>82.167441860465118</v>
      </c>
      <c r="V41" s="67">
        <f t="shared" si="15"/>
        <v>84.396899224806205</v>
      </c>
      <c r="W41" s="22">
        <v>12</v>
      </c>
      <c r="X41" s="14">
        <v>10.9</v>
      </c>
      <c r="Y41" s="14">
        <v>13.4</v>
      </c>
      <c r="Z41" s="70">
        <v>11.8</v>
      </c>
      <c r="AA41" s="71">
        <v>18.5</v>
      </c>
      <c r="AB41" s="14">
        <v>16.100000000000001</v>
      </c>
      <c r="AC41" s="14">
        <v>21.1</v>
      </c>
      <c r="AD41" s="23">
        <v>18.399999999999999</v>
      </c>
      <c r="AE41" s="22">
        <v>716</v>
      </c>
      <c r="AF41" s="14">
        <v>721</v>
      </c>
      <c r="AG41" s="14">
        <v>730</v>
      </c>
      <c r="AH41" s="70">
        <v>737</v>
      </c>
    </row>
    <row r="42" spans="1:34" ht="19.5" thickBot="1">
      <c r="A42" s="12" t="s">
        <v>19</v>
      </c>
      <c r="B42" s="12">
        <v>14.4</v>
      </c>
      <c r="C42" s="13">
        <f>[1]удобрения!U5</f>
        <v>88.933333333333337</v>
      </c>
      <c r="D42" s="13">
        <f t="shared" si="14"/>
        <v>89.346976744186051</v>
      </c>
      <c r="E42" s="12">
        <v>14.8</v>
      </c>
      <c r="F42" s="12">
        <v>24</v>
      </c>
      <c r="G42" s="14">
        <v>750</v>
      </c>
      <c r="J42" s="23" t="s">
        <v>41</v>
      </c>
      <c r="K42" s="72">
        <f>(20+21.5+20.3)/3*4</f>
        <v>82.399999999999991</v>
      </c>
      <c r="L42" s="73">
        <f>(20.7+21+19.5)/3*4</f>
        <v>81.600000000000009</v>
      </c>
      <c r="M42" s="73">
        <f>(20+20.8+21)/3*4</f>
        <v>82.399999999999991</v>
      </c>
      <c r="N42" s="74">
        <f>(22.1+22.5+20.6)/3*4</f>
        <v>86.933333333333337</v>
      </c>
      <c r="O42" s="72">
        <v>12.4</v>
      </c>
      <c r="P42" s="73">
        <v>12.2</v>
      </c>
      <c r="Q42" s="73">
        <v>12.3</v>
      </c>
      <c r="R42" s="75">
        <v>12.7</v>
      </c>
      <c r="S42" s="76">
        <f t="shared" si="16"/>
        <v>83.93302325581395</v>
      </c>
      <c r="T42" s="73">
        <f t="shared" si="15"/>
        <v>83.307906976744192</v>
      </c>
      <c r="U42" s="73">
        <f t="shared" si="15"/>
        <v>84.02883720930231</v>
      </c>
      <c r="V42" s="74">
        <f t="shared" si="15"/>
        <v>88.247441860465116</v>
      </c>
      <c r="W42" s="35">
        <v>10.8</v>
      </c>
      <c r="X42" s="36">
        <v>12.3</v>
      </c>
      <c r="Y42" s="36">
        <v>12.3</v>
      </c>
      <c r="Z42" s="77">
        <v>13.4</v>
      </c>
      <c r="AA42" s="78">
        <v>16</v>
      </c>
      <c r="AB42" s="36">
        <v>18.399999999999999</v>
      </c>
      <c r="AC42" s="36">
        <v>19.2</v>
      </c>
      <c r="AD42" s="37">
        <v>22.4</v>
      </c>
      <c r="AE42" s="35">
        <v>723</v>
      </c>
      <c r="AF42" s="36">
        <v>707</v>
      </c>
      <c r="AG42" s="36">
        <v>738</v>
      </c>
      <c r="AH42" s="77">
        <v>737</v>
      </c>
    </row>
    <row r="43" spans="1:34" ht="19.5" thickBot="1">
      <c r="A43" s="12" t="s">
        <v>20</v>
      </c>
      <c r="B43" s="12">
        <v>13.9</v>
      </c>
      <c r="C43" s="13">
        <f>[1]удобрения!U6</f>
        <v>75.86666666666666</v>
      </c>
      <c r="D43" s="13">
        <f t="shared" si="14"/>
        <v>75.778449612403094</v>
      </c>
      <c r="E43" s="12">
        <v>16.2</v>
      </c>
      <c r="F43" s="12">
        <v>28.3</v>
      </c>
      <c r="G43" s="14">
        <v>725</v>
      </c>
    </row>
    <row r="44" spans="1:34" ht="18.75">
      <c r="A44" s="12" t="s">
        <v>21</v>
      </c>
      <c r="B44" s="12">
        <v>14.3</v>
      </c>
      <c r="C44" s="13">
        <f>[1]удобрения!U7</f>
        <v>85.066666666666663</v>
      </c>
      <c r="D44" s="13">
        <f t="shared" si="14"/>
        <v>85.363410852713173</v>
      </c>
      <c r="E44" s="12">
        <v>14.5</v>
      </c>
      <c r="F44" s="12">
        <v>24.5</v>
      </c>
      <c r="G44" s="14">
        <v>736</v>
      </c>
      <c r="K44" s="57" t="s">
        <v>34</v>
      </c>
      <c r="L44" s="58"/>
      <c r="M44" s="58"/>
      <c r="N44" s="58"/>
      <c r="O44" s="57" t="s">
        <v>7</v>
      </c>
      <c r="P44" s="58"/>
      <c r="Q44" s="58"/>
      <c r="R44" s="59"/>
      <c r="S44" s="57" t="s">
        <v>35</v>
      </c>
      <c r="T44" s="58"/>
      <c r="U44" s="58"/>
      <c r="V44" s="58"/>
      <c r="W44" s="57" t="s">
        <v>1</v>
      </c>
      <c r="X44" s="58"/>
      <c r="Y44" s="58"/>
      <c r="Z44" s="59"/>
      <c r="AA44" s="57" t="s">
        <v>2</v>
      </c>
      <c r="AB44" s="58"/>
      <c r="AC44" s="58"/>
      <c r="AD44" s="58"/>
      <c r="AE44" s="57" t="s">
        <v>37</v>
      </c>
      <c r="AF44" s="58"/>
      <c r="AG44" s="58"/>
      <c r="AH44" s="59"/>
    </row>
    <row r="45" spans="1:34" ht="18.75">
      <c r="A45" s="12" t="s">
        <v>22</v>
      </c>
      <c r="B45" s="12">
        <v>14.1</v>
      </c>
      <c r="C45" s="13">
        <f>[1]удобрения!U8</f>
        <v>87.2</v>
      </c>
      <c r="D45" s="13">
        <f t="shared" si="14"/>
        <v>87.301395348837218</v>
      </c>
      <c r="E45" s="12">
        <v>12.3</v>
      </c>
      <c r="F45" s="12">
        <v>18.3</v>
      </c>
      <c r="G45" s="14">
        <v>710</v>
      </c>
      <c r="J45" s="23" t="s">
        <v>43</v>
      </c>
      <c r="K45" s="60">
        <v>42621</v>
      </c>
      <c r="L45" s="61">
        <v>42623</v>
      </c>
      <c r="M45" s="61">
        <v>42628</v>
      </c>
      <c r="N45" s="62">
        <v>42633</v>
      </c>
      <c r="O45" s="60">
        <v>42621</v>
      </c>
      <c r="P45" s="61">
        <v>42623</v>
      </c>
      <c r="Q45" s="61">
        <v>42628</v>
      </c>
      <c r="R45" s="63">
        <v>42633</v>
      </c>
      <c r="S45" s="64">
        <v>42621</v>
      </c>
      <c r="T45" s="61">
        <v>42623</v>
      </c>
      <c r="U45" s="61">
        <v>42628</v>
      </c>
      <c r="V45" s="62">
        <v>42633</v>
      </c>
      <c r="W45" s="60">
        <v>42621</v>
      </c>
      <c r="X45" s="61">
        <v>42623</v>
      </c>
      <c r="Y45" s="61">
        <v>42628</v>
      </c>
      <c r="Z45" s="63">
        <v>42633</v>
      </c>
      <c r="AA45" s="64">
        <v>42621</v>
      </c>
      <c r="AB45" s="61">
        <v>42623</v>
      </c>
      <c r="AC45" s="61">
        <v>42628</v>
      </c>
      <c r="AD45" s="62">
        <v>42633</v>
      </c>
      <c r="AE45" s="60">
        <v>42621</v>
      </c>
      <c r="AF45" s="61">
        <v>42623</v>
      </c>
      <c r="AG45" s="61">
        <v>42628</v>
      </c>
      <c r="AH45" s="63">
        <v>42633</v>
      </c>
    </row>
    <row r="46" spans="1:34">
      <c r="J46" s="23" t="s">
        <v>39</v>
      </c>
      <c r="K46" s="65">
        <f>(18.7+18.5+17.2)/3*4</f>
        <v>72.533333333333346</v>
      </c>
      <c r="L46" s="66">
        <f>(18+17.5+17)/3*4</f>
        <v>70</v>
      </c>
      <c r="M46" s="66">
        <f>(17.5+16.5+17.3)/3*4</f>
        <v>68.399999999999991</v>
      </c>
      <c r="N46" s="67">
        <f>(18+17.5+17.4)/3*4</f>
        <v>70.533333333333331</v>
      </c>
      <c r="O46" s="65">
        <v>12.4</v>
      </c>
      <c r="P46" s="66">
        <v>12.1</v>
      </c>
      <c r="Q46" s="66">
        <v>12.3</v>
      </c>
      <c r="R46" s="68">
        <v>12.1</v>
      </c>
      <c r="S46" s="69">
        <f>K46-K46*(O46-14)/(100-14)</f>
        <v>73.882790697674437</v>
      </c>
      <c r="T46" s="66">
        <f t="shared" ref="T46:V48" si="17">L46-L46*(P46-14)/(100-14)</f>
        <v>71.54651162790698</v>
      </c>
      <c r="U46" s="66">
        <f t="shared" si="17"/>
        <v>69.75209302325581</v>
      </c>
      <c r="V46" s="67">
        <f t="shared" si="17"/>
        <v>72.09162790697674</v>
      </c>
      <c r="W46" s="22">
        <v>13.9</v>
      </c>
      <c r="X46" s="14">
        <v>15.6</v>
      </c>
      <c r="Y46" s="14">
        <v>13.8</v>
      </c>
      <c r="Z46" s="70">
        <v>16.5</v>
      </c>
      <c r="AA46" s="71">
        <v>23.9</v>
      </c>
      <c r="AB46" s="14">
        <v>28.4</v>
      </c>
      <c r="AC46" s="14">
        <v>24.3</v>
      </c>
      <c r="AD46" s="23">
        <v>31.1</v>
      </c>
      <c r="AE46" s="22">
        <v>728</v>
      </c>
      <c r="AF46" s="14">
        <v>727</v>
      </c>
      <c r="AG46" s="14">
        <v>742</v>
      </c>
      <c r="AH46" s="70">
        <v>744</v>
      </c>
    </row>
    <row r="47" spans="1:34" ht="18.75">
      <c r="A47" s="79" t="s">
        <v>44</v>
      </c>
      <c r="B47" s="12" t="s">
        <v>7</v>
      </c>
      <c r="C47" s="13" t="s">
        <v>8</v>
      </c>
      <c r="D47" s="13" t="s">
        <v>9</v>
      </c>
      <c r="E47" s="12" t="s">
        <v>1</v>
      </c>
      <c r="F47" s="12" t="s">
        <v>2</v>
      </c>
      <c r="G47" s="80" t="s">
        <v>10</v>
      </c>
      <c r="J47" s="23" t="s">
        <v>40</v>
      </c>
      <c r="K47" s="65">
        <f>(17.5+19.7+17.9)/3*4</f>
        <v>73.466666666666669</v>
      </c>
      <c r="L47" s="66">
        <f>(16.7+17.3+16.7)/3*4</f>
        <v>67.600000000000009</v>
      </c>
      <c r="M47" s="66">
        <f>(17.5+17.4+15.9)/3*4</f>
        <v>67.733333333333334</v>
      </c>
      <c r="N47" s="67">
        <f>(18+18.3+18.5)/3*4</f>
        <v>73.066666666666663</v>
      </c>
      <c r="O47" s="65">
        <v>12.7</v>
      </c>
      <c r="P47" s="66">
        <v>13.2</v>
      </c>
      <c r="Q47" s="66">
        <v>11.6</v>
      </c>
      <c r="R47" s="68">
        <v>11.8</v>
      </c>
      <c r="S47" s="69">
        <f t="shared" ref="S47:S48" si="18">K47-K47*(O47-14)/(100-14)</f>
        <v>74.577209302325585</v>
      </c>
      <c r="T47" s="66">
        <f t="shared" si="17"/>
        <v>68.228837209302341</v>
      </c>
      <c r="U47" s="66">
        <f t="shared" si="17"/>
        <v>69.623565891472865</v>
      </c>
      <c r="V47" s="67">
        <f t="shared" si="17"/>
        <v>74.935813953488363</v>
      </c>
      <c r="W47" s="22">
        <v>13.3</v>
      </c>
      <c r="X47" s="14">
        <v>15.1</v>
      </c>
      <c r="Y47" s="14">
        <v>14.1</v>
      </c>
      <c r="Z47" s="70">
        <v>13.9</v>
      </c>
      <c r="AA47" s="71">
        <v>21.4</v>
      </c>
      <c r="AB47" s="14">
        <v>25.9</v>
      </c>
      <c r="AC47" s="14">
        <v>24.5</v>
      </c>
      <c r="AD47" s="23">
        <v>24.9</v>
      </c>
      <c r="AE47" s="22">
        <v>710</v>
      </c>
      <c r="AF47" s="14">
        <v>711</v>
      </c>
      <c r="AG47" s="14">
        <v>740</v>
      </c>
      <c r="AH47" s="70">
        <v>745</v>
      </c>
    </row>
    <row r="48" spans="1:34" ht="19.5" thickBot="1">
      <c r="A48" s="12" t="s">
        <v>16</v>
      </c>
      <c r="B48" s="12"/>
      <c r="C48" s="13"/>
      <c r="D48" s="13"/>
      <c r="E48" s="12"/>
      <c r="F48" s="12"/>
      <c r="G48" s="14"/>
      <c r="J48" s="23" t="s">
        <v>41</v>
      </c>
      <c r="K48" s="72">
        <f>(18.1+18.5+16.5)/3*4</f>
        <v>70.8</v>
      </c>
      <c r="L48" s="73">
        <f>(16.5+16.5+16)/3*4</f>
        <v>65.333333333333329</v>
      </c>
      <c r="M48" s="73">
        <f>(17.7+17.3+17.9)/3*4</f>
        <v>70.533333333333331</v>
      </c>
      <c r="N48" s="74">
        <f>(18.3+17.5+17.3)/3*4</f>
        <v>70.8</v>
      </c>
      <c r="O48" s="72">
        <v>12.2</v>
      </c>
      <c r="P48" s="73">
        <v>12.2</v>
      </c>
      <c r="Q48" s="73">
        <v>11.9</v>
      </c>
      <c r="R48" s="75">
        <v>12.1</v>
      </c>
      <c r="S48" s="76">
        <f t="shared" si="18"/>
        <v>72.281860465116281</v>
      </c>
      <c r="T48" s="73">
        <f t="shared" si="17"/>
        <v>66.700775193798449</v>
      </c>
      <c r="U48" s="73">
        <f t="shared" si="17"/>
        <v>72.255658914728684</v>
      </c>
      <c r="V48" s="74">
        <f t="shared" si="17"/>
        <v>72.36418604651162</v>
      </c>
      <c r="W48" s="35">
        <v>14.5</v>
      </c>
      <c r="X48" s="36">
        <v>13.4</v>
      </c>
      <c r="Y48" s="36">
        <v>14.2</v>
      </c>
      <c r="Z48" s="77">
        <v>17.3</v>
      </c>
      <c r="AA48" s="78">
        <v>25.5</v>
      </c>
      <c r="AB48" s="36">
        <v>21.9</v>
      </c>
      <c r="AC48" s="36">
        <v>25.1</v>
      </c>
      <c r="AD48" s="37">
        <v>32.299999999999997</v>
      </c>
      <c r="AE48" s="35">
        <v>727</v>
      </c>
      <c r="AF48" s="36">
        <v>721</v>
      </c>
      <c r="AG48" s="36">
        <v>734</v>
      </c>
      <c r="AH48" s="77">
        <v>732</v>
      </c>
    </row>
    <row r="49" spans="1:34" ht="19.5" thickBot="1">
      <c r="A49" s="12" t="s">
        <v>17</v>
      </c>
      <c r="B49" s="12"/>
      <c r="C49" s="13"/>
      <c r="D49" s="13"/>
      <c r="E49" s="12"/>
      <c r="F49" s="12"/>
      <c r="G49" s="14"/>
    </row>
    <row r="50" spans="1:34" ht="18.75">
      <c r="A50" s="12" t="s">
        <v>18</v>
      </c>
      <c r="B50" s="12"/>
      <c r="C50" s="13"/>
      <c r="D50" s="13"/>
      <c r="E50" s="12"/>
      <c r="F50" s="12"/>
      <c r="G50" s="14"/>
      <c r="K50" s="57" t="s">
        <v>34</v>
      </c>
      <c r="L50" s="58"/>
      <c r="M50" s="58"/>
      <c r="N50" s="58"/>
      <c r="O50" s="57" t="s">
        <v>7</v>
      </c>
      <c r="P50" s="58"/>
      <c r="Q50" s="58"/>
      <c r="R50" s="59"/>
      <c r="S50" s="57" t="s">
        <v>35</v>
      </c>
      <c r="T50" s="58"/>
      <c r="U50" s="58"/>
      <c r="V50" s="58"/>
      <c r="W50" s="57" t="s">
        <v>1</v>
      </c>
      <c r="X50" s="58"/>
      <c r="Y50" s="58"/>
      <c r="Z50" s="59"/>
      <c r="AA50" s="57" t="s">
        <v>2</v>
      </c>
      <c r="AB50" s="58"/>
      <c r="AC50" s="58"/>
      <c r="AD50" s="58"/>
      <c r="AE50" s="57" t="s">
        <v>37</v>
      </c>
      <c r="AF50" s="58"/>
      <c r="AG50" s="58"/>
      <c r="AH50" s="59"/>
    </row>
    <row r="51" spans="1:34" ht="18.75">
      <c r="A51" s="12" t="s">
        <v>20</v>
      </c>
      <c r="B51" s="12"/>
      <c r="C51" s="13"/>
      <c r="D51" s="13"/>
      <c r="E51" s="12"/>
      <c r="F51" s="12"/>
      <c r="G51" s="14"/>
      <c r="J51" s="23" t="s">
        <v>45</v>
      </c>
      <c r="K51" s="60">
        <v>42621</v>
      </c>
      <c r="L51" s="61">
        <v>42623</v>
      </c>
      <c r="M51" s="61">
        <v>42628</v>
      </c>
      <c r="N51" s="62">
        <v>42633</v>
      </c>
      <c r="O51" s="60">
        <v>42621</v>
      </c>
      <c r="P51" s="61">
        <v>42623</v>
      </c>
      <c r="Q51" s="61">
        <v>42628</v>
      </c>
      <c r="R51" s="63">
        <v>42633</v>
      </c>
      <c r="S51" s="64">
        <v>42621</v>
      </c>
      <c r="T51" s="61">
        <v>42623</v>
      </c>
      <c r="U51" s="61">
        <v>42628</v>
      </c>
      <c r="V51" s="62">
        <v>42633</v>
      </c>
      <c r="W51" s="60">
        <v>42621</v>
      </c>
      <c r="X51" s="61">
        <v>42623</v>
      </c>
      <c r="Y51" s="61">
        <v>42628</v>
      </c>
      <c r="Z51" s="63">
        <v>42633</v>
      </c>
      <c r="AA51" s="64">
        <v>42621</v>
      </c>
      <c r="AB51" s="61">
        <v>42623</v>
      </c>
      <c r="AC51" s="61">
        <v>42628</v>
      </c>
      <c r="AD51" s="62">
        <v>42633</v>
      </c>
      <c r="AE51" s="60">
        <v>42621</v>
      </c>
      <c r="AF51" s="61">
        <v>42623</v>
      </c>
      <c r="AG51" s="61">
        <v>42628</v>
      </c>
      <c r="AH51" s="63">
        <v>42633</v>
      </c>
    </row>
    <row r="52" spans="1:34">
      <c r="J52" s="23" t="s">
        <v>39</v>
      </c>
      <c r="K52" s="65">
        <f>(20.7+21.1+20.6)/3*4</f>
        <v>83.2</v>
      </c>
      <c r="L52" s="66">
        <f>(19.5+20+19.2)/3*4</f>
        <v>78.266666666666666</v>
      </c>
      <c r="M52" s="66">
        <f>(18+19.1+18.8)/3*4</f>
        <v>74.533333333333346</v>
      </c>
      <c r="N52" s="67">
        <f>(17.6+17.5+16.2)/3*4</f>
        <v>68.399999999999991</v>
      </c>
      <c r="O52" s="65">
        <v>12.9</v>
      </c>
      <c r="P52" s="66">
        <v>12.9</v>
      </c>
      <c r="Q52" s="66">
        <v>12.9</v>
      </c>
      <c r="R52" s="68">
        <v>12.7</v>
      </c>
      <c r="S52" s="69">
        <f>K52-K52*(O52-14)/(100-14)</f>
        <v>84.264186046511625</v>
      </c>
      <c r="T52" s="66">
        <f t="shared" ref="T52:V54" si="19">L52-L52*(P52-14)/(100-14)</f>
        <v>79.267751937984499</v>
      </c>
      <c r="U52" s="66">
        <f t="shared" si="19"/>
        <v>75.486666666666679</v>
      </c>
      <c r="V52" s="67">
        <f t="shared" si="19"/>
        <v>69.433953488372083</v>
      </c>
      <c r="W52" s="22">
        <v>11.2</v>
      </c>
      <c r="X52" s="14">
        <v>11.7</v>
      </c>
      <c r="Y52" s="14">
        <v>11.3</v>
      </c>
      <c r="Z52" s="70">
        <v>13.1</v>
      </c>
      <c r="AA52" s="71">
        <v>16.8</v>
      </c>
      <c r="AB52" s="14">
        <v>17.8</v>
      </c>
      <c r="AC52" s="14">
        <v>16.600000000000001</v>
      </c>
      <c r="AD52" s="23">
        <v>21.1</v>
      </c>
      <c r="AE52" s="22">
        <v>717</v>
      </c>
      <c r="AF52" s="14">
        <v>711</v>
      </c>
      <c r="AG52" s="14">
        <v>716</v>
      </c>
      <c r="AH52" s="70">
        <v>740</v>
      </c>
    </row>
    <row r="53" spans="1:34" ht="18.75">
      <c r="A53" s="79" t="s">
        <v>46</v>
      </c>
      <c r="B53" s="12" t="s">
        <v>7</v>
      </c>
      <c r="C53" s="13" t="s">
        <v>8</v>
      </c>
      <c r="D53" s="13" t="s">
        <v>9</v>
      </c>
      <c r="E53" s="12" t="s">
        <v>1</v>
      </c>
      <c r="F53" s="12" t="s">
        <v>2</v>
      </c>
      <c r="G53" s="80" t="s">
        <v>10</v>
      </c>
      <c r="J53" s="23" t="s">
        <v>40</v>
      </c>
      <c r="K53" s="65">
        <f>(21+20+19.1)/3*4</f>
        <v>80.13333333333334</v>
      </c>
      <c r="L53" s="66">
        <f>(20.7+21+20.8)/3*4</f>
        <v>83.333333333333329</v>
      </c>
      <c r="M53" s="66">
        <f>(18.5+19.9+18.5)/3*4</f>
        <v>75.86666666666666</v>
      </c>
      <c r="N53" s="67">
        <f>(18+19.2+17.6)/3*4</f>
        <v>73.066666666666677</v>
      </c>
      <c r="O53" s="65">
        <v>13</v>
      </c>
      <c r="P53" s="66">
        <v>12.9</v>
      </c>
      <c r="Q53" s="66">
        <v>12.9</v>
      </c>
      <c r="R53" s="68">
        <v>12.4</v>
      </c>
      <c r="S53" s="69">
        <f t="shared" ref="S53:S54" si="20">K53-K53*(O53-14)/(100-14)</f>
        <v>81.06511627906977</v>
      </c>
      <c r="T53" s="66">
        <f t="shared" si="19"/>
        <v>84.399224806201545</v>
      </c>
      <c r="U53" s="66">
        <f t="shared" si="19"/>
        <v>76.837054263565889</v>
      </c>
      <c r="V53" s="67">
        <f t="shared" si="19"/>
        <v>74.426046511627916</v>
      </c>
      <c r="W53" s="22">
        <v>11.1</v>
      </c>
      <c r="X53" s="14">
        <v>10.6</v>
      </c>
      <c r="Y53" s="14">
        <v>13.3</v>
      </c>
      <c r="Z53" s="70">
        <v>13.2</v>
      </c>
      <c r="AA53" s="71">
        <v>16.7</v>
      </c>
      <c r="AB53" s="14">
        <v>15.6</v>
      </c>
      <c r="AC53" s="14">
        <v>22</v>
      </c>
      <c r="AD53" s="23">
        <v>21.3</v>
      </c>
      <c r="AE53" s="22">
        <v>724</v>
      </c>
      <c r="AF53" s="14">
        <v>714</v>
      </c>
      <c r="AG53" s="14">
        <v>705</v>
      </c>
      <c r="AH53" s="70">
        <v>707</v>
      </c>
    </row>
    <row r="54" spans="1:34" ht="19.5" thickBot="1">
      <c r="A54" s="12" t="s">
        <v>16</v>
      </c>
      <c r="B54" s="12"/>
      <c r="C54" s="13"/>
      <c r="D54" s="13"/>
      <c r="E54" s="12"/>
      <c r="F54" s="12"/>
      <c r="G54" s="14"/>
      <c r="J54" s="23" t="s">
        <v>41</v>
      </c>
      <c r="K54" s="72">
        <f>(21.3+20.3+20)/3*4</f>
        <v>82.13333333333334</v>
      </c>
      <c r="L54" s="73">
        <f>(19.1+19.9+19.5)/3*4</f>
        <v>78</v>
      </c>
      <c r="M54" s="73">
        <f>(19.2+20+18)/3*4</f>
        <v>76.266666666666666</v>
      </c>
      <c r="N54" s="74">
        <f>(20.8+19.9+21.2)/3*4</f>
        <v>82.533333333333346</v>
      </c>
      <c r="O54" s="72">
        <v>12.9</v>
      </c>
      <c r="P54" s="73">
        <v>12.8</v>
      </c>
      <c r="Q54" s="73">
        <v>12.9</v>
      </c>
      <c r="R54" s="75">
        <v>12.9</v>
      </c>
      <c r="S54" s="76">
        <f t="shared" si="20"/>
        <v>83.183875968992254</v>
      </c>
      <c r="T54" s="73">
        <f t="shared" si="19"/>
        <v>79.088372093023253</v>
      </c>
      <c r="U54" s="73">
        <f t="shared" si="19"/>
        <v>77.242170542635662</v>
      </c>
      <c r="V54" s="74">
        <f t="shared" si="19"/>
        <v>83.588992248062027</v>
      </c>
      <c r="W54" s="35">
        <v>10.9</v>
      </c>
      <c r="X54" s="36">
        <v>12.3</v>
      </c>
      <c r="Y54" s="36">
        <v>11.1</v>
      </c>
      <c r="Z54" s="77">
        <v>13.1</v>
      </c>
      <c r="AA54" s="78">
        <v>15.8</v>
      </c>
      <c r="AB54" s="36">
        <v>18.8</v>
      </c>
      <c r="AC54" s="36">
        <v>15.8</v>
      </c>
      <c r="AD54" s="37">
        <v>21.1</v>
      </c>
      <c r="AE54" s="35">
        <v>713</v>
      </c>
      <c r="AF54" s="36">
        <v>702</v>
      </c>
      <c r="AG54" s="36"/>
      <c r="AH54" s="77">
        <v>715</v>
      </c>
    </row>
    <row r="55" spans="1:34" ht="18.75">
      <c r="A55" s="12" t="s">
        <v>17</v>
      </c>
      <c r="B55" s="12"/>
      <c r="C55" s="13"/>
      <c r="D55" s="13"/>
      <c r="E55" s="12"/>
      <c r="F55" s="12"/>
      <c r="G55" s="14"/>
    </row>
    <row r="56" spans="1:34" ht="18.75">
      <c r="A56" s="12" t="s">
        <v>18</v>
      </c>
      <c r="B56" s="12"/>
      <c r="C56" s="13"/>
      <c r="D56" s="13"/>
      <c r="E56" s="12"/>
      <c r="F56" s="12"/>
      <c r="G56" s="14"/>
    </row>
    <row r="57" spans="1:34" ht="18.75">
      <c r="A57" s="12" t="s">
        <v>20</v>
      </c>
      <c r="B57" s="12"/>
      <c r="C57" s="13"/>
      <c r="D57" s="13"/>
      <c r="E57" s="12"/>
      <c r="F57" s="12"/>
      <c r="G57" s="14"/>
    </row>
    <row r="58" spans="1:34" ht="18.75">
      <c r="A58" s="12"/>
      <c r="B58" s="12"/>
      <c r="C58" s="13"/>
      <c r="D58" s="13"/>
      <c r="E58" s="12"/>
      <c r="F58" s="12"/>
      <c r="G58" s="14"/>
    </row>
    <row r="59" spans="1:34" ht="18.75">
      <c r="A59" s="79" t="s">
        <v>47</v>
      </c>
      <c r="B59" s="12" t="s">
        <v>7</v>
      </c>
      <c r="C59" s="13" t="s">
        <v>8</v>
      </c>
      <c r="D59" s="13" t="s">
        <v>9</v>
      </c>
      <c r="E59" s="12" t="s">
        <v>1</v>
      </c>
      <c r="F59" s="12" t="s">
        <v>2</v>
      </c>
      <c r="G59" s="80" t="s">
        <v>10</v>
      </c>
    </row>
    <row r="60" spans="1:34" ht="18.75">
      <c r="A60" s="12" t="s">
        <v>16</v>
      </c>
      <c r="B60" s="12"/>
      <c r="C60" s="13"/>
      <c r="D60" s="13"/>
      <c r="E60" s="12"/>
      <c r="F60" s="12"/>
      <c r="G60" s="14"/>
    </row>
    <row r="61" spans="1:34" ht="18.75">
      <c r="A61" s="12" t="s">
        <v>17</v>
      </c>
      <c r="B61" s="12"/>
      <c r="C61" s="13"/>
      <c r="D61" s="13"/>
      <c r="E61" s="12"/>
      <c r="F61" s="12"/>
      <c r="G61" s="14"/>
    </row>
    <row r="62" spans="1:34" ht="18.75">
      <c r="A62" s="12" t="s">
        <v>18</v>
      </c>
      <c r="B62" s="12"/>
      <c r="C62" s="13"/>
      <c r="D62" s="13"/>
      <c r="E62" s="12"/>
      <c r="F62" s="12"/>
      <c r="G62" s="14"/>
    </row>
    <row r="63" spans="1:34" ht="18.75">
      <c r="A63" s="12" t="s">
        <v>20</v>
      </c>
      <c r="B63" s="12"/>
      <c r="C63" s="13"/>
      <c r="D63" s="13"/>
      <c r="E63" s="12"/>
      <c r="F63" s="12"/>
      <c r="G63" s="14"/>
    </row>
    <row r="64" spans="1:34" ht="18.75">
      <c r="A64" s="79" t="s">
        <v>48</v>
      </c>
      <c r="B64" s="12" t="s">
        <v>7</v>
      </c>
      <c r="C64" s="13" t="s">
        <v>8</v>
      </c>
      <c r="D64" s="13" t="s">
        <v>9</v>
      </c>
      <c r="E64" s="12" t="s">
        <v>1</v>
      </c>
      <c r="F64" s="12" t="s">
        <v>2</v>
      </c>
      <c r="G64" s="80" t="s">
        <v>10</v>
      </c>
    </row>
    <row r="65" spans="1:7" ht="18.75">
      <c r="A65" s="12" t="s">
        <v>16</v>
      </c>
      <c r="B65" s="12"/>
      <c r="C65" s="13"/>
      <c r="D65" s="13"/>
      <c r="E65" s="12"/>
      <c r="F65" s="12"/>
      <c r="G65" s="14"/>
    </row>
    <row r="66" spans="1:7" ht="18.75">
      <c r="A66" s="12" t="s">
        <v>17</v>
      </c>
      <c r="B66" s="12"/>
      <c r="C66" s="13"/>
      <c r="D66" s="13"/>
      <c r="E66" s="12"/>
      <c r="F66" s="12"/>
      <c r="G66" s="14"/>
    </row>
    <row r="67" spans="1:7" ht="18.75">
      <c r="A67" s="12" t="s">
        <v>18</v>
      </c>
      <c r="B67" s="12"/>
      <c r="C67" s="13"/>
      <c r="D67" s="13"/>
      <c r="E67" s="12"/>
      <c r="F67" s="12"/>
      <c r="G67" s="14"/>
    </row>
    <row r="68" spans="1:7" ht="18.75">
      <c r="A68" s="12" t="s">
        <v>20</v>
      </c>
      <c r="B68" s="12"/>
      <c r="C68" s="13"/>
      <c r="D68" s="13"/>
      <c r="E68" s="12"/>
      <c r="F68" s="12"/>
      <c r="G68" s="14"/>
    </row>
    <row r="69" spans="1:7" ht="18.75">
      <c r="A69" s="79" t="s">
        <v>49</v>
      </c>
      <c r="B69" s="12" t="s">
        <v>7</v>
      </c>
      <c r="C69" s="13" t="s">
        <v>8</v>
      </c>
      <c r="D69" s="13" t="s">
        <v>9</v>
      </c>
      <c r="E69" s="12" t="s">
        <v>1</v>
      </c>
      <c r="F69" s="12" t="s">
        <v>2</v>
      </c>
      <c r="G69" s="80" t="s">
        <v>10</v>
      </c>
    </row>
    <row r="70" spans="1:7" ht="18.75">
      <c r="A70" s="12" t="s">
        <v>16</v>
      </c>
      <c r="B70" s="12"/>
      <c r="C70" s="13"/>
      <c r="D70" s="13"/>
      <c r="E70" s="12"/>
      <c r="F70" s="12"/>
      <c r="G70" s="14"/>
    </row>
    <row r="71" spans="1:7" ht="18.75">
      <c r="A71" s="12" t="s">
        <v>17</v>
      </c>
      <c r="B71" s="12"/>
      <c r="C71" s="13"/>
      <c r="D71" s="13"/>
      <c r="E71" s="12"/>
      <c r="F71" s="12"/>
      <c r="G71" s="14"/>
    </row>
    <row r="72" spans="1:7" ht="18.75">
      <c r="A72" s="12" t="s">
        <v>18</v>
      </c>
      <c r="B72" s="12"/>
      <c r="C72" s="13"/>
      <c r="D72" s="13"/>
      <c r="E72" s="12"/>
      <c r="F72" s="12"/>
      <c r="G72" s="14"/>
    </row>
    <row r="73" spans="1:7" ht="18.75">
      <c r="A73" s="12" t="s">
        <v>20</v>
      </c>
      <c r="B73" s="12"/>
      <c r="C73" s="13"/>
      <c r="D73" s="13"/>
      <c r="E73" s="12"/>
      <c r="F73" s="12"/>
      <c r="G73" s="14"/>
    </row>
    <row r="74" spans="1:7" ht="18.75">
      <c r="A74" s="79" t="s">
        <v>50</v>
      </c>
      <c r="B74" s="12" t="s">
        <v>7</v>
      </c>
      <c r="C74" s="13" t="s">
        <v>8</v>
      </c>
      <c r="D74" s="13" t="s">
        <v>9</v>
      </c>
      <c r="E74" s="12" t="s">
        <v>1</v>
      </c>
      <c r="F74" s="12" t="s">
        <v>2</v>
      </c>
      <c r="G74" s="80" t="s">
        <v>10</v>
      </c>
    </row>
    <row r="75" spans="1:7" ht="18.75">
      <c r="A75" s="12" t="s">
        <v>16</v>
      </c>
      <c r="B75" s="12"/>
      <c r="C75" s="13"/>
      <c r="D75" s="13"/>
      <c r="E75" s="12"/>
      <c r="F75" s="12"/>
      <c r="G75" s="14"/>
    </row>
    <row r="76" spans="1:7" ht="18.75">
      <c r="A76" s="12" t="s">
        <v>17</v>
      </c>
      <c r="B76" s="12"/>
      <c r="C76" s="13"/>
      <c r="D76" s="13"/>
      <c r="E76" s="12"/>
      <c r="F76" s="12"/>
      <c r="G76" s="14"/>
    </row>
    <row r="77" spans="1:7" ht="18.75">
      <c r="A77" s="12" t="s">
        <v>18</v>
      </c>
      <c r="B77" s="12"/>
      <c r="C77" s="13"/>
      <c r="D77" s="13"/>
      <c r="E77" s="12"/>
      <c r="F77" s="12"/>
      <c r="G77" s="14"/>
    </row>
    <row r="78" spans="1:7" ht="18.75">
      <c r="A78" s="12" t="s">
        <v>20</v>
      </c>
      <c r="B78" s="12"/>
      <c r="C78" s="13"/>
      <c r="D78" s="13"/>
      <c r="E78" s="12"/>
      <c r="F78" s="12"/>
      <c r="G78" s="14"/>
    </row>
    <row r="79" spans="1:7" ht="18.75">
      <c r="A79" s="79" t="s">
        <v>51</v>
      </c>
      <c r="B79" s="12" t="s">
        <v>7</v>
      </c>
      <c r="C79" s="13" t="s">
        <v>8</v>
      </c>
      <c r="D79" s="13" t="s">
        <v>9</v>
      </c>
      <c r="E79" s="12" t="s">
        <v>1</v>
      </c>
      <c r="F79" s="12" t="s">
        <v>2</v>
      </c>
      <c r="G79" s="80" t="s">
        <v>10</v>
      </c>
    </row>
    <row r="80" spans="1:7" ht="18.75">
      <c r="A80" s="12" t="s">
        <v>16</v>
      </c>
      <c r="B80" s="12"/>
      <c r="C80" s="13"/>
      <c r="D80" s="13"/>
      <c r="E80" s="12"/>
      <c r="F80" s="12"/>
      <c r="G80" s="14"/>
    </row>
    <row r="81" spans="1:7" ht="18.75">
      <c r="A81" s="12" t="s">
        <v>17</v>
      </c>
      <c r="B81" s="12"/>
      <c r="C81" s="13"/>
      <c r="D81" s="13"/>
      <c r="E81" s="12"/>
      <c r="F81" s="12"/>
      <c r="G81" s="14"/>
    </row>
    <row r="82" spans="1:7" ht="18.75">
      <c r="A82" s="12" t="s">
        <v>18</v>
      </c>
      <c r="B82" s="12"/>
      <c r="C82" s="13"/>
      <c r="D82" s="13"/>
      <c r="E82" s="12"/>
      <c r="F82" s="12"/>
      <c r="G82" s="14"/>
    </row>
    <row r="83" spans="1:7" ht="18.75">
      <c r="A83" s="12" t="s">
        <v>20</v>
      </c>
      <c r="B83" s="12"/>
      <c r="C83" s="13"/>
      <c r="D83" s="13"/>
      <c r="E83" s="12"/>
      <c r="F83" s="12"/>
      <c r="G83" s="14"/>
    </row>
    <row r="84" spans="1:7" ht="18.75">
      <c r="A84" s="79" t="s">
        <v>52</v>
      </c>
      <c r="B84" s="12" t="s">
        <v>7</v>
      </c>
      <c r="C84" s="13" t="s">
        <v>8</v>
      </c>
      <c r="D84" s="13" t="s">
        <v>9</v>
      </c>
      <c r="E84" s="12" t="s">
        <v>1</v>
      </c>
      <c r="F84" s="12" t="s">
        <v>2</v>
      </c>
      <c r="G84" s="80" t="s">
        <v>10</v>
      </c>
    </row>
    <row r="85" spans="1:7" ht="18.75">
      <c r="A85" s="12" t="s">
        <v>16</v>
      </c>
      <c r="B85" s="12"/>
      <c r="C85" s="13"/>
      <c r="D85" s="13"/>
      <c r="E85" s="12"/>
      <c r="F85" s="12"/>
      <c r="G85" s="14"/>
    </row>
    <row r="86" spans="1:7" ht="18.75">
      <c r="A86" s="12" t="s">
        <v>17</v>
      </c>
      <c r="B86" s="12"/>
      <c r="C86" s="13"/>
      <c r="D86" s="13"/>
      <c r="E86" s="12"/>
      <c r="F86" s="12"/>
      <c r="G86" s="14"/>
    </row>
    <row r="87" spans="1:7" ht="18.75">
      <c r="A87" s="12" t="s">
        <v>18</v>
      </c>
      <c r="B87" s="12"/>
      <c r="C87" s="13"/>
      <c r="D87" s="13"/>
      <c r="E87" s="12"/>
      <c r="F87" s="12"/>
      <c r="G87" s="14"/>
    </row>
    <row r="88" spans="1:7" ht="18.75">
      <c r="A88" s="12" t="s">
        <v>20</v>
      </c>
      <c r="B88" s="12"/>
      <c r="C88" s="13"/>
      <c r="D88" s="13"/>
      <c r="E88" s="12"/>
      <c r="F88" s="12"/>
      <c r="G88" s="14"/>
    </row>
    <row r="89" spans="1:7" ht="18.75">
      <c r="A89" s="79" t="s">
        <v>53</v>
      </c>
      <c r="B89" s="12" t="s">
        <v>7</v>
      </c>
      <c r="C89" s="13" t="s">
        <v>8</v>
      </c>
      <c r="D89" s="13" t="s">
        <v>9</v>
      </c>
      <c r="E89" s="12" t="s">
        <v>1</v>
      </c>
      <c r="F89" s="12" t="s">
        <v>2</v>
      </c>
      <c r="G89" s="80" t="s">
        <v>10</v>
      </c>
    </row>
    <row r="90" spans="1:7" ht="18.75">
      <c r="A90" s="12" t="s">
        <v>16</v>
      </c>
      <c r="B90" s="12"/>
      <c r="C90" s="13"/>
      <c r="D90" s="13"/>
      <c r="E90" s="12"/>
      <c r="F90" s="12"/>
      <c r="G90" s="14"/>
    </row>
    <row r="91" spans="1:7" ht="18.75">
      <c r="A91" s="12" t="s">
        <v>17</v>
      </c>
      <c r="B91" s="12"/>
      <c r="C91" s="13"/>
      <c r="D91" s="13"/>
      <c r="E91" s="12"/>
      <c r="F91" s="12"/>
      <c r="G91" s="14"/>
    </row>
    <row r="92" spans="1:7" ht="18.75">
      <c r="A92" s="12" t="s">
        <v>18</v>
      </c>
      <c r="B92" s="12"/>
      <c r="C92" s="13"/>
      <c r="D92" s="13"/>
      <c r="E92" s="12"/>
      <c r="F92" s="12"/>
      <c r="G92" s="14"/>
    </row>
    <row r="93" spans="1:7" ht="18.75">
      <c r="A93" s="12" t="s">
        <v>20</v>
      </c>
      <c r="B93" s="12"/>
      <c r="C93" s="13"/>
      <c r="D93" s="13"/>
      <c r="E93" s="12"/>
      <c r="F93" s="12"/>
      <c r="G93" s="14"/>
    </row>
    <row r="94" spans="1:7" ht="18.75">
      <c r="A94" s="79" t="s">
        <v>54</v>
      </c>
      <c r="B94" s="12" t="s">
        <v>7</v>
      </c>
      <c r="C94" s="13" t="s">
        <v>8</v>
      </c>
      <c r="D94" s="13" t="s">
        <v>9</v>
      </c>
      <c r="E94" s="12" t="s">
        <v>1</v>
      </c>
      <c r="F94" s="12" t="s">
        <v>2</v>
      </c>
      <c r="G94" s="80" t="s">
        <v>10</v>
      </c>
    </row>
    <row r="95" spans="1:7" ht="18.75">
      <c r="A95" s="12" t="s">
        <v>16</v>
      </c>
      <c r="B95" s="12"/>
      <c r="C95" s="13"/>
      <c r="D95" s="13"/>
      <c r="E95" s="12"/>
      <c r="F95" s="12"/>
      <c r="G95" s="14"/>
    </row>
    <row r="96" spans="1:7" ht="18.75">
      <c r="A96" s="12" t="s">
        <v>17</v>
      </c>
      <c r="B96" s="12"/>
      <c r="C96" s="13"/>
      <c r="D96" s="13"/>
      <c r="E96" s="12"/>
      <c r="F96" s="12"/>
      <c r="G96" s="14"/>
    </row>
    <row r="97" spans="1:7" ht="18.75">
      <c r="A97" s="12" t="s">
        <v>18</v>
      </c>
      <c r="B97" s="12"/>
      <c r="C97" s="13"/>
      <c r="D97" s="13"/>
      <c r="E97" s="12"/>
      <c r="F97" s="12"/>
      <c r="G97" s="14"/>
    </row>
    <row r="98" spans="1:7" ht="18.75">
      <c r="A98" s="12" t="s">
        <v>20</v>
      </c>
      <c r="B98" s="12"/>
      <c r="C98" s="13"/>
      <c r="D98" s="13"/>
      <c r="E98" s="12"/>
      <c r="F98" s="12"/>
      <c r="G98" s="14"/>
    </row>
    <row r="99" spans="1:7" ht="18.75">
      <c r="A99" s="79" t="s">
        <v>55</v>
      </c>
      <c r="B99" s="12" t="s">
        <v>7</v>
      </c>
      <c r="C99" s="13" t="s">
        <v>8</v>
      </c>
      <c r="D99" s="13" t="s">
        <v>9</v>
      </c>
      <c r="E99" s="12" t="s">
        <v>1</v>
      </c>
      <c r="F99" s="12" t="s">
        <v>2</v>
      </c>
      <c r="G99" s="80" t="s">
        <v>10</v>
      </c>
    </row>
    <row r="100" spans="1:7" ht="18.75">
      <c r="A100" s="12" t="s">
        <v>16</v>
      </c>
      <c r="B100" s="12"/>
      <c r="C100" s="13"/>
      <c r="D100" s="13"/>
      <c r="E100" s="12"/>
      <c r="F100" s="12"/>
      <c r="G100" s="14"/>
    </row>
    <row r="101" spans="1:7" ht="18.75">
      <c r="A101" s="12" t="s">
        <v>17</v>
      </c>
      <c r="B101" s="12"/>
      <c r="C101" s="13"/>
      <c r="D101" s="13"/>
      <c r="E101" s="12"/>
      <c r="F101" s="12"/>
      <c r="G101" s="14"/>
    </row>
    <row r="102" spans="1:7" ht="18.75">
      <c r="A102" s="12" t="s">
        <v>18</v>
      </c>
      <c r="B102" s="12"/>
      <c r="C102" s="13"/>
      <c r="D102" s="13"/>
      <c r="E102" s="12"/>
      <c r="F102" s="12"/>
      <c r="G102" s="14"/>
    </row>
    <row r="103" spans="1:7" ht="18.75">
      <c r="A103" s="12" t="s">
        <v>20</v>
      </c>
      <c r="B103" s="12"/>
      <c r="C103" s="13"/>
      <c r="D103" s="13"/>
      <c r="E103" s="12"/>
      <c r="F103" s="12"/>
      <c r="G103" s="14"/>
    </row>
    <row r="104" spans="1:7" ht="18.75">
      <c r="A104" s="79" t="s">
        <v>56</v>
      </c>
      <c r="B104" s="12" t="s">
        <v>7</v>
      </c>
      <c r="C104" s="13" t="s">
        <v>8</v>
      </c>
      <c r="D104" s="13" t="s">
        <v>9</v>
      </c>
      <c r="E104" s="12" t="s">
        <v>1</v>
      </c>
      <c r="F104" s="12" t="s">
        <v>2</v>
      </c>
      <c r="G104" s="80" t="s">
        <v>10</v>
      </c>
    </row>
    <row r="105" spans="1:7" ht="18.75">
      <c r="A105" s="12" t="s">
        <v>16</v>
      </c>
      <c r="B105" s="12"/>
      <c r="C105" s="13"/>
      <c r="D105" s="13"/>
      <c r="E105" s="12"/>
      <c r="F105" s="12"/>
      <c r="G105" s="14"/>
    </row>
    <row r="106" spans="1:7" ht="18.75">
      <c r="A106" s="12" t="s">
        <v>17</v>
      </c>
      <c r="B106" s="12"/>
      <c r="C106" s="13"/>
      <c r="D106" s="13"/>
      <c r="E106" s="12"/>
      <c r="F106" s="12"/>
      <c r="G106" s="14"/>
    </row>
    <row r="107" spans="1:7" ht="18.75">
      <c r="A107" s="12" t="s">
        <v>18</v>
      </c>
      <c r="B107" s="12"/>
      <c r="C107" s="13"/>
      <c r="D107" s="13"/>
      <c r="E107" s="12"/>
      <c r="F107" s="12"/>
      <c r="G107" s="14"/>
    </row>
    <row r="108" spans="1:7" ht="18.75">
      <c r="A108" s="12" t="s">
        <v>20</v>
      </c>
      <c r="B108" s="12"/>
      <c r="C108" s="13"/>
      <c r="D108" s="13"/>
      <c r="E108" s="12"/>
      <c r="F108" s="12"/>
      <c r="G108" s="14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удобр+ нормы и сроки сева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Дарья</dc:creator>
  <cp:lastModifiedBy>Дарья</cp:lastModifiedBy>
  <dcterms:created xsi:type="dcterms:W3CDTF">2016-11-02T12:34:32Z</dcterms:created>
  <dcterms:modified xsi:type="dcterms:W3CDTF">2016-11-02T12:34:52Z</dcterms:modified>
</cp:coreProperties>
</file>